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95" windowWidth="19440" windowHeight="9600" activeTab="3"/>
  </bookViews>
  <sheets>
    <sheet name="פתרון 1" sheetId="4" r:id="rId1"/>
    <sheet name="פתרון 2" sheetId="6" r:id="rId2"/>
    <sheet name="פתרון 3" sheetId="1" r:id="rId3"/>
    <sheet name="פתרון 4" sheetId="7" r:id="rId4"/>
  </sheets>
  <definedNames>
    <definedName name="_xlnm.Print_Area" localSheetId="0">'פתרון 1'!$A$1:$G$152</definedName>
  </definedNames>
  <calcPr calcId="145621"/>
</workbook>
</file>

<file path=xl/calcChain.xml><?xml version="1.0" encoding="utf-8"?>
<calcChain xmlns="http://schemas.openxmlformats.org/spreadsheetml/2006/main">
  <c r="D99" i="7" l="1"/>
  <c r="D75" i="7" l="1"/>
  <c r="E167" i="7" l="1"/>
  <c r="E135" i="7"/>
  <c r="E164" i="7" s="1"/>
  <c r="E130" i="7"/>
  <c r="E133" i="7" s="1"/>
  <c r="D27" i="7" s="1"/>
  <c r="M46" i="7" s="1"/>
  <c r="E126" i="7"/>
  <c r="E127" i="7" s="1"/>
  <c r="D17" i="7" s="1"/>
  <c r="M42" i="7" s="1"/>
  <c r="E122" i="7"/>
  <c r="E121" i="7"/>
  <c r="E129" i="7" s="1"/>
  <c r="E118" i="7"/>
  <c r="E159" i="7" s="1"/>
  <c r="E114" i="7"/>
  <c r="E110" i="7"/>
  <c r="D104" i="7"/>
  <c r="D105" i="7" s="1"/>
  <c r="D100" i="7"/>
  <c r="D88" i="7"/>
  <c r="D89" i="7" s="1"/>
  <c r="E154" i="7" s="1"/>
  <c r="D84" i="7"/>
  <c r="D85" i="7" s="1"/>
  <c r="M23" i="7" s="1"/>
  <c r="D80" i="7"/>
  <c r="D81" i="7" s="1"/>
  <c r="M13" i="7" s="1"/>
  <c r="M14" i="7" s="1"/>
  <c r="D76" i="7"/>
  <c r="D66" i="7"/>
  <c r="D67" i="7" s="1"/>
  <c r="D63" i="7"/>
  <c r="D50" i="7" s="1"/>
  <c r="D61" i="7"/>
  <c r="D54" i="7"/>
  <c r="M53" i="7"/>
  <c r="M54" i="7" s="1"/>
  <c r="D53" i="7"/>
  <c r="D14" i="7" s="1"/>
  <c r="D52" i="7"/>
  <c r="D51" i="7"/>
  <c r="D29" i="7"/>
  <c r="D24" i="7"/>
  <c r="O21" i="7"/>
  <c r="D147" i="7" s="1"/>
  <c r="M21" i="7"/>
  <c r="D20" i="7"/>
  <c r="D13" i="7"/>
  <c r="M41" i="7" s="1"/>
  <c r="M11" i="7"/>
  <c r="D11" i="7"/>
  <c r="M10" i="7"/>
  <c r="M9" i="7"/>
  <c r="D23" i="7" s="1"/>
  <c r="D9" i="7"/>
  <c r="D8" i="7"/>
  <c r="E4" i="7"/>
  <c r="E3" i="7"/>
  <c r="D30" i="7" s="1"/>
  <c r="E2" i="7"/>
  <c r="D93" i="7" l="1"/>
  <c r="D101" i="7"/>
  <c r="E123" i="7"/>
  <c r="D16" i="7" s="1"/>
  <c r="D77" i="7"/>
  <c r="D68" i="7" s="1"/>
  <c r="D69" i="7" s="1"/>
  <c r="M45" i="7"/>
  <c r="E131" i="7"/>
  <c r="D26" i="7" s="1"/>
  <c r="E157" i="7"/>
  <c r="E158" i="7" s="1"/>
  <c r="D33" i="7" s="1"/>
  <c r="M8" i="7"/>
  <c r="D55" i="7"/>
  <c r="C44" i="7" s="1"/>
  <c r="C45" i="7" s="1"/>
  <c r="D71" i="7" s="1"/>
  <c r="M33" i="7"/>
  <c r="M34" i="7" s="1"/>
  <c r="E165" i="7"/>
  <c r="E166" i="7" s="1"/>
  <c r="D34" i="7" s="1"/>
  <c r="M49" i="7" s="1"/>
  <c r="D12" i="7"/>
  <c r="M24" i="7"/>
  <c r="E152" i="7" s="1"/>
  <c r="E153" i="7" s="1"/>
  <c r="D32" i="7" s="1"/>
  <c r="D94" i="7"/>
  <c r="D95" i="7" s="1"/>
  <c r="F95" i="7" s="1"/>
  <c r="D22" i="7"/>
  <c r="M44" i="7" s="1"/>
  <c r="F93" i="7"/>
  <c r="C333" i="6"/>
  <c r="C332" i="6"/>
  <c r="C331" i="6" s="1"/>
  <c r="G46" i="6" s="1"/>
  <c r="C327" i="6"/>
  <c r="C315" i="6"/>
  <c r="C319" i="6" s="1"/>
  <c r="C313" i="6"/>
  <c r="C320" i="6" s="1"/>
  <c r="C307" i="6"/>
  <c r="C309" i="6" s="1"/>
  <c r="C294" i="6"/>
  <c r="C293" i="6"/>
  <c r="C299" i="6" s="1"/>
  <c r="C300" i="6" s="1"/>
  <c r="C292" i="6"/>
  <c r="G30" i="6" s="1"/>
  <c r="C288" i="6"/>
  <c r="C280" i="6"/>
  <c r="C282" i="6" s="1"/>
  <c r="B80" i="6" s="1"/>
  <c r="C44" i="6" s="1"/>
  <c r="C271" i="6"/>
  <c r="C269" i="6"/>
  <c r="C259" i="6"/>
  <c r="C244" i="6"/>
  <c r="C248" i="6" s="1"/>
  <c r="C242" i="6"/>
  <c r="C249" i="6" s="1"/>
  <c r="C236" i="6"/>
  <c r="C238" i="6" s="1"/>
  <c r="C227" i="6"/>
  <c r="C229" i="6" s="1"/>
  <c r="B57" i="6" s="1"/>
  <c r="C218" i="6"/>
  <c r="C220" i="6" s="1"/>
  <c r="B68" i="6" s="1"/>
  <c r="C216" i="6"/>
  <c r="C209" i="6"/>
  <c r="C205" i="6"/>
  <c r="C203" i="6"/>
  <c r="C207" i="6" s="1"/>
  <c r="C195" i="6"/>
  <c r="C193" i="6"/>
  <c r="C197" i="6" s="1"/>
  <c r="D159" i="6" s="1"/>
  <c r="B188" i="6"/>
  <c r="D182" i="6"/>
  <c r="E178" i="6"/>
  <c r="D171" i="6"/>
  <c r="D168" i="6"/>
  <c r="D157" i="6"/>
  <c r="C261" i="6" s="1"/>
  <c r="D155" i="6"/>
  <c r="B64" i="6" s="1"/>
  <c r="D153" i="6"/>
  <c r="D146" i="6"/>
  <c r="D144" i="6"/>
  <c r="C140" i="6"/>
  <c r="C138" i="6"/>
  <c r="H133" i="6"/>
  <c r="B102" i="6"/>
  <c r="B86" i="6"/>
  <c r="B78" i="6"/>
  <c r="B62" i="6"/>
  <c r="B55" i="6"/>
  <c r="B58" i="6" s="1"/>
  <c r="C46" i="6"/>
  <c r="C38" i="6"/>
  <c r="C36" i="6"/>
  <c r="C34" i="6"/>
  <c r="C30" i="6"/>
  <c r="C28" i="6"/>
  <c r="C26" i="6"/>
  <c r="C22" i="6"/>
  <c r="C20" i="6"/>
  <c r="G18" i="6"/>
  <c r="C18" i="6"/>
  <c r="C14" i="6"/>
  <c r="C12" i="6"/>
  <c r="C10" i="6"/>
  <c r="C8" i="6"/>
  <c r="C6" i="6"/>
  <c r="D18" i="7" l="1"/>
  <c r="D148" i="6"/>
  <c r="D162" i="6" s="1"/>
  <c r="D161" i="6" s="1"/>
  <c r="B70" i="6" s="1"/>
  <c r="B94" i="6" s="1"/>
  <c r="B114" i="6" s="1"/>
  <c r="M40" i="7"/>
  <c r="C246" i="6"/>
  <c r="C250" i="6" s="1"/>
  <c r="C273" i="6"/>
  <c r="B92" i="6" s="1"/>
  <c r="C42" i="6" s="1"/>
  <c r="C16" i="6"/>
  <c r="M48" i="7"/>
  <c r="F94" i="7"/>
  <c r="F96" i="7" s="1"/>
  <c r="D19" i="7" s="1"/>
  <c r="O8" i="7"/>
  <c r="M19" i="7" s="1"/>
  <c r="D96" i="7"/>
  <c r="D70" i="7"/>
  <c r="M15" i="7" s="1"/>
  <c r="M25" i="7" s="1"/>
  <c r="C263" i="6"/>
  <c r="C24" i="6" s="1"/>
  <c r="C32" i="6" s="1"/>
  <c r="C211" i="6"/>
  <c r="G6" i="6"/>
  <c r="G16" i="6" s="1"/>
  <c r="G32" i="6" s="1"/>
  <c r="G49" i="6" s="1"/>
  <c r="B119" i="6"/>
  <c r="B82" i="6"/>
  <c r="B88" i="6"/>
  <c r="B108" i="6"/>
  <c r="B117" i="6" s="1"/>
  <c r="B90" i="6"/>
  <c r="C40" i="6" s="1"/>
  <c r="B66" i="6"/>
  <c r="B71" i="6" s="1"/>
  <c r="B73" i="6" s="1"/>
  <c r="C73" i="6" s="1"/>
  <c r="C317" i="6"/>
  <c r="C321" i="6" s="1"/>
  <c r="C338" i="6"/>
  <c r="C339" i="6" s="1"/>
  <c r="C210" i="6"/>
  <c r="B155" i="4"/>
  <c r="B154" i="4"/>
  <c r="B146" i="4"/>
  <c r="B147" i="4" s="1"/>
  <c r="C44" i="4" s="1"/>
  <c r="B143" i="4"/>
  <c r="B141" i="4"/>
  <c r="B136" i="4"/>
  <c r="B137" i="4" s="1"/>
  <c r="B138" i="4" s="1"/>
  <c r="B44" i="4" s="1"/>
  <c r="B128" i="4"/>
  <c r="E43" i="4" s="1"/>
  <c r="C43" i="4" s="1"/>
  <c r="B104" i="4"/>
  <c r="B103" i="4"/>
  <c r="B116" i="4" s="1"/>
  <c r="B102" i="4"/>
  <c r="B101" i="4"/>
  <c r="B108" i="4" s="1"/>
  <c r="B113" i="4" s="1"/>
  <c r="B20" i="4" s="1"/>
  <c r="B100" i="4"/>
  <c r="B92" i="4"/>
  <c r="B91" i="4"/>
  <c r="B90" i="4"/>
  <c r="B89" i="4"/>
  <c r="B88" i="4"/>
  <c r="B80" i="4"/>
  <c r="B82" i="4" s="1"/>
  <c r="B83" i="4" s="1"/>
  <c r="E41" i="4" s="1"/>
  <c r="B78" i="4"/>
  <c r="B79" i="4" s="1"/>
  <c r="B41" i="4" s="1"/>
  <c r="B76" i="4"/>
  <c r="B70" i="4"/>
  <c r="B40" i="4" s="1"/>
  <c r="B62" i="4"/>
  <c r="B61" i="4"/>
  <c r="B60" i="4"/>
  <c r="B59" i="4"/>
  <c r="B58" i="4"/>
  <c r="B57" i="4"/>
  <c r="E45" i="4"/>
  <c r="B45" i="4"/>
  <c r="D44" i="4"/>
  <c r="D46" i="4" s="1"/>
  <c r="E40" i="4"/>
  <c r="B33" i="4"/>
  <c r="B23" i="4"/>
  <c r="B21" i="4"/>
  <c r="B19" i="4"/>
  <c r="B11" i="4"/>
  <c r="B10" i="4"/>
  <c r="D84" i="1"/>
  <c r="D225" i="1"/>
  <c r="D228" i="1" s="1"/>
  <c r="D214" i="1" s="1"/>
  <c r="D221" i="1"/>
  <c r="D208" i="1"/>
  <c r="D211" i="1" s="1"/>
  <c r="D196" i="1" s="1"/>
  <c r="D204" i="1"/>
  <c r="D203" i="1"/>
  <c r="D187" i="1"/>
  <c r="D190" i="1" s="1"/>
  <c r="D175" i="1" s="1"/>
  <c r="D177" i="1"/>
  <c r="D182" i="1"/>
  <c r="D183" i="1"/>
  <c r="D28" i="1"/>
  <c r="D172" i="1"/>
  <c r="D170" i="1"/>
  <c r="D166" i="1"/>
  <c r="K71" i="1" s="1"/>
  <c r="D216" i="1" s="1"/>
  <c r="D162" i="1"/>
  <c r="D163" i="1"/>
  <c r="D158" i="1"/>
  <c r="D22" i="1"/>
  <c r="D153" i="1"/>
  <c r="D151" i="1"/>
  <c r="D147" i="1"/>
  <c r="D145" i="1"/>
  <c r="D118" i="1"/>
  <c r="D20" i="1"/>
  <c r="D141" i="1"/>
  <c r="D198" i="1" s="1"/>
  <c r="D137" i="1"/>
  <c r="D133" i="1"/>
  <c r="D13" i="1"/>
  <c r="D124" i="1"/>
  <c r="D122" i="1"/>
  <c r="D41" i="1"/>
  <c r="D116" i="1"/>
  <c r="D5" i="1"/>
  <c r="D4" i="1"/>
  <c r="D109" i="1"/>
  <c r="D111" i="1"/>
  <c r="D110" i="1"/>
  <c r="J98" i="1"/>
  <c r="J97" i="1"/>
  <c r="J91" i="1"/>
  <c r="J90" i="1"/>
  <c r="D102" i="1"/>
  <c r="D101" i="1"/>
  <c r="D95" i="1"/>
  <c r="D94" i="1"/>
  <c r="D91" i="1"/>
  <c r="D90" i="1"/>
  <c r="D83" i="1"/>
  <c r="D82" i="1"/>
  <c r="C71" i="1"/>
  <c r="E71" i="1" s="1"/>
  <c r="D71" i="1" s="1"/>
  <c r="C69" i="1"/>
  <c r="D40" i="1"/>
  <c r="D39" i="1"/>
  <c r="I41" i="1"/>
  <c r="H64" i="1"/>
  <c r="I57" i="1"/>
  <c r="H53" i="1"/>
  <c r="H55" i="1" s="1"/>
  <c r="I46" i="1"/>
  <c r="D28" i="7" l="1"/>
  <c r="D35" i="7" s="1"/>
  <c r="J92" i="1"/>
  <c r="J94" i="1" s="1"/>
  <c r="H73" i="1" s="1"/>
  <c r="D171" i="1"/>
  <c r="D27" i="1" s="1"/>
  <c r="B93" i="4"/>
  <c r="B95" i="4" s="1"/>
  <c r="B99" i="4" s="1"/>
  <c r="B105" i="4" s="1"/>
  <c r="B107" i="4" s="1"/>
  <c r="C49" i="6"/>
  <c r="D103" i="1"/>
  <c r="D105" i="1" s="1"/>
  <c r="E73" i="1" s="1"/>
  <c r="C45" i="4"/>
  <c r="B149" i="4"/>
  <c r="B27" i="4"/>
  <c r="F36" i="7"/>
  <c r="D37" i="7"/>
  <c r="D36" i="7" s="1"/>
  <c r="E172" i="7" s="1"/>
  <c r="E173" i="7" s="1"/>
  <c r="M50" i="7" s="1"/>
  <c r="M26" i="7"/>
  <c r="O19" i="7"/>
  <c r="M16" i="7"/>
  <c r="N16" i="7" s="1"/>
  <c r="C119" i="6"/>
  <c r="B95" i="6"/>
  <c r="B97" i="6" s="1"/>
  <c r="C97" i="6" s="1"/>
  <c r="E44" i="4"/>
  <c r="C40" i="4"/>
  <c r="C41" i="4"/>
  <c r="B120" i="4"/>
  <c r="D85" i="1"/>
  <c r="C72" i="1" s="1"/>
  <c r="D152" i="1"/>
  <c r="D19" i="1" s="1"/>
  <c r="D96" i="1"/>
  <c r="D98" i="1" s="1"/>
  <c r="C73" i="1" s="1"/>
  <c r="D73" i="1" s="1"/>
  <c r="D123" i="1"/>
  <c r="D11" i="1" s="1"/>
  <c r="H71" i="1"/>
  <c r="I71" i="1" s="1"/>
  <c r="J71" i="1" s="1"/>
  <c r="D146" i="1"/>
  <c r="D18" i="1" s="1"/>
  <c r="D179" i="1"/>
  <c r="D200" i="1"/>
  <c r="D42" i="1"/>
  <c r="D46" i="1" s="1"/>
  <c r="D47" i="1" s="1"/>
  <c r="J99" i="1"/>
  <c r="J101" i="1" s="1"/>
  <c r="K73" i="1" s="1"/>
  <c r="D72" i="1"/>
  <c r="D8" i="1" s="1"/>
  <c r="H74" i="1"/>
  <c r="D201" i="1" s="1"/>
  <c r="F73" i="1"/>
  <c r="F71" i="1"/>
  <c r="D69" i="1"/>
  <c r="D117" i="1"/>
  <c r="D10" i="1" s="1"/>
  <c r="K72" i="1"/>
  <c r="D217" i="1" s="1"/>
  <c r="C70" i="1"/>
  <c r="D112" i="1"/>
  <c r="C74" i="1" s="1"/>
  <c r="D35" i="1"/>
  <c r="D36" i="1" s="1"/>
  <c r="C76" i="1" s="1"/>
  <c r="O26" i="7" l="1"/>
  <c r="P26" i="7" s="1"/>
  <c r="N26" i="7"/>
  <c r="B119" i="4"/>
  <c r="B115" i="4"/>
  <c r="B117" i="4" s="1"/>
  <c r="D146" i="7"/>
  <c r="D148" i="7" s="1"/>
  <c r="C139" i="7" s="1"/>
  <c r="C140" i="7" s="1"/>
  <c r="M35" i="7" s="1"/>
  <c r="M29" i="7"/>
  <c r="B109" i="4"/>
  <c r="B110" i="4" s="1"/>
  <c r="B42" i="4" s="1"/>
  <c r="B46" i="4" s="1"/>
  <c r="B112" i="4"/>
  <c r="B8" i="4" s="1"/>
  <c r="B121" i="4"/>
  <c r="B124" i="4" s="1"/>
  <c r="E42" i="4" s="1"/>
  <c r="H72" i="1"/>
  <c r="D199" i="1" s="1"/>
  <c r="I72" i="1"/>
  <c r="D24" i="1" s="1"/>
  <c r="G71" i="1"/>
  <c r="I73" i="1"/>
  <c r="I74" i="1" s="1"/>
  <c r="D25" i="1" s="1"/>
  <c r="D218" i="1"/>
  <c r="K74" i="1"/>
  <c r="D219" i="1" s="1"/>
  <c r="D70" i="1"/>
  <c r="E70" i="1" s="1"/>
  <c r="D74" i="1"/>
  <c r="D9" i="1" s="1"/>
  <c r="F74" i="1"/>
  <c r="D16" i="1" s="1"/>
  <c r="F72" i="1"/>
  <c r="C75" i="1"/>
  <c r="E75" i="1" s="1"/>
  <c r="D181" i="1" s="1"/>
  <c r="D202" i="1" s="1"/>
  <c r="D205" i="1" s="1"/>
  <c r="E74" i="1"/>
  <c r="D180" i="1" s="1"/>
  <c r="E72" i="1"/>
  <c r="D178" i="1" s="1"/>
  <c r="E69" i="1"/>
  <c r="M36" i="7" l="1"/>
  <c r="C42" i="4"/>
  <c r="C46" i="4" s="1"/>
  <c r="D53" i="4" s="1"/>
  <c r="E46" i="4"/>
  <c r="B15" i="4"/>
  <c r="B29" i="4" s="1"/>
  <c r="B32" i="4" s="1"/>
  <c r="B34" i="4" s="1"/>
  <c r="D49" i="4" s="1"/>
  <c r="D51" i="4"/>
  <c r="J72" i="1"/>
  <c r="D26" i="1" s="1"/>
  <c r="D184" i="1"/>
  <c r="F76" i="1"/>
  <c r="G72" i="1"/>
  <c r="J76" i="1"/>
  <c r="E76" i="1"/>
  <c r="H75" i="1"/>
  <c r="D76" i="1"/>
  <c r="G76" i="1"/>
  <c r="I76" i="1"/>
  <c r="D15" i="1"/>
  <c r="D7" i="1"/>
  <c r="D12" i="1" s="1"/>
  <c r="P36" i="7" l="1"/>
  <c r="Q36" i="7" s="1"/>
  <c r="N36" i="7"/>
  <c r="D54" i="4"/>
  <c r="D52" i="4"/>
  <c r="B63" i="4" s="1"/>
  <c r="B64" i="4" s="1"/>
  <c r="D185" i="1"/>
  <c r="D17" i="1"/>
  <c r="D21" i="1" s="1"/>
  <c r="K75" i="1"/>
  <c r="H76" i="1"/>
  <c r="K76" i="1" l="1"/>
  <c r="D220" i="1"/>
  <c r="D222" i="1" s="1"/>
  <c r="D29" i="1"/>
  <c r="D206" i="1"/>
  <c r="D223" i="1" l="1"/>
</calcChain>
</file>

<file path=xl/comments1.xml><?xml version="1.0" encoding="utf-8"?>
<comments xmlns="http://schemas.openxmlformats.org/spreadsheetml/2006/main">
  <authors>
    <author>Nimrod Shmuel</author>
  </authors>
  <commentList>
    <comment ref="I71" authorId="0">
      <text>
        <r>
          <rPr>
            <b/>
            <sz val="8"/>
            <color indexed="81"/>
            <rFont val="Tahoma"/>
            <family val="2"/>
          </rPr>
          <t>בוצע שינוי אומדן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<sst xmlns="http://schemas.openxmlformats.org/spreadsheetml/2006/main" count="860" uniqueCount="524">
  <si>
    <t>תמורה</t>
  </si>
  <si>
    <t>שווי מאזני נרכש*</t>
  </si>
  <si>
    <t>מזומן</t>
  </si>
  <si>
    <t>מלאי</t>
  </si>
  <si>
    <t>לקוחות</t>
  </si>
  <si>
    <t>ציוד</t>
  </si>
  <si>
    <t>ספקים וזכאים</t>
  </si>
  <si>
    <t>אג"ח לשלם</t>
  </si>
  <si>
    <t>הון מניות רגילות</t>
  </si>
  <si>
    <t>מניות בכורה</t>
  </si>
  <si>
    <t>פרמיה</t>
  </si>
  <si>
    <t>שחזור אג"ח 1.1.08</t>
  </si>
  <si>
    <t>שחזור מאזן בוחן 1.7.08</t>
  </si>
  <si>
    <t>N=5</t>
  </si>
  <si>
    <t>I=8%</t>
  </si>
  <si>
    <t>שחזור אג"ח 1.1.07</t>
  </si>
  <si>
    <t>N=6</t>
  </si>
  <si>
    <t>PMT=4000</t>
  </si>
  <si>
    <t>FV=80000</t>
  </si>
  <si>
    <t>PV=</t>
  </si>
  <si>
    <t>הוצאות הנפקה</t>
  </si>
  <si>
    <t>תמורה נטו</t>
  </si>
  <si>
    <t>שחזור IRR</t>
  </si>
  <si>
    <t>I=9.5%</t>
  </si>
  <si>
    <t>66177*1.095^0.5=</t>
  </si>
  <si>
    <t>עודפים PN</t>
  </si>
  <si>
    <t>תיקון הון עצמי</t>
  </si>
  <si>
    <t>הון נתון</t>
  </si>
  <si>
    <t>מדיניות מלאי</t>
  </si>
  <si>
    <t>הסתייגות חומ"ס</t>
  </si>
  <si>
    <t>(50000-58000)*0.73=</t>
  </si>
  <si>
    <t>מיוחס ל:</t>
  </si>
  <si>
    <t>מניות רגילות</t>
  </si>
  <si>
    <t>1.7.08</t>
  </si>
  <si>
    <t>הפחתה 08</t>
  </si>
  <si>
    <t>31.12.08</t>
  </si>
  <si>
    <t>סעיף</t>
  </si>
  <si>
    <t>מס נדחה</t>
  </si>
  <si>
    <t>הפחתה 09</t>
  </si>
  <si>
    <t>31.12.09</t>
  </si>
  <si>
    <t>מס נדחה (1)</t>
  </si>
  <si>
    <t>(1) חישוב מס נדחה ציוד 1.7.08</t>
  </si>
  <si>
    <t>היפוך 2008</t>
  </si>
  <si>
    <t>14000/7.5*0.5*0.27=</t>
  </si>
  <si>
    <t>היפוך 2009</t>
  </si>
  <si>
    <t>14000/7.5*0.26=</t>
  </si>
  <si>
    <t>היפוך 2010 ואילך</t>
  </si>
  <si>
    <t>ירידת ערך 09</t>
  </si>
  <si>
    <t>אג"ח לשלם (2)</t>
  </si>
  <si>
    <t>1.1.08</t>
  </si>
  <si>
    <t>59813*1.12^0.5=</t>
  </si>
  <si>
    <t>הפרש</t>
  </si>
  <si>
    <t>שיעור החזקה</t>
  </si>
  <si>
    <t>עודף עלות</t>
  </si>
  <si>
    <t>פנקנסני (i=9.5%)</t>
  </si>
  <si>
    <t>שווי הוגן (i=12%)</t>
  </si>
  <si>
    <t>N=4</t>
  </si>
  <si>
    <t>N=3</t>
  </si>
  <si>
    <t>31.12.10</t>
  </si>
  <si>
    <t>N=2</t>
  </si>
  <si>
    <t>הפחתה 10</t>
  </si>
  <si>
    <t>(2) אג"ח לשלם</t>
  </si>
  <si>
    <t>מס נדחה (3)</t>
  </si>
  <si>
    <t>(3) חישוב מס נדחה אג"ח 1.7.08</t>
  </si>
  <si>
    <t>190*0.27=</t>
  </si>
  <si>
    <t>422*0.26=</t>
  </si>
  <si>
    <t>1767*0.25=</t>
  </si>
  <si>
    <t>מוניטין</t>
  </si>
  <si>
    <t>סה"כ</t>
  </si>
  <si>
    <t>תנועה חשבון השקעה</t>
  </si>
  <si>
    <t>אקויטי 7-12/08</t>
  </si>
  <si>
    <t>130000*0.5*0.4=</t>
  </si>
  <si>
    <t>הפחתת עודף עלות:</t>
  </si>
  <si>
    <t>מלאי, נטו</t>
  </si>
  <si>
    <t>ציוד, נטו</t>
  </si>
  <si>
    <t>אג"ח, נטו</t>
  </si>
  <si>
    <t>1.7.08 עלות (1)</t>
  </si>
  <si>
    <t>(1) חישוב עודף עלות:</t>
  </si>
  <si>
    <t>ייחוס והפחתת עודף עלות</t>
  </si>
  <si>
    <t>(2) מדיניות מלאי</t>
  </si>
  <si>
    <t>יתרת פתיחה</t>
  </si>
  <si>
    <t>(50000-58000)*0.73*0.4=</t>
  </si>
  <si>
    <t>יתרת סגירה</t>
  </si>
  <si>
    <t>שינוי</t>
  </si>
  <si>
    <t>מדיניות מלאי (2)</t>
  </si>
  <si>
    <t>(3) הסתייגות חומ"ס</t>
  </si>
  <si>
    <t>40000*(1-0.27)*0.4=</t>
  </si>
  <si>
    <t>40000*(1-0.27)=</t>
  </si>
  <si>
    <t>478711*0.4=</t>
  </si>
  <si>
    <t>35000*(1-0.26)*0.4=</t>
  </si>
  <si>
    <t>אקויטי 09</t>
  </si>
  <si>
    <t>(130000-100000*0.15)*0.4=</t>
  </si>
  <si>
    <t>הסתייגות חומ"ס (3)</t>
  </si>
  <si>
    <t>ירידת ערך ציוד, נטו (4)</t>
  </si>
  <si>
    <t>(4) בחינת ירידת ערך ציוד 31.12.09</t>
  </si>
  <si>
    <t xml:space="preserve">פנקסני </t>
  </si>
  <si>
    <t>בר השבה</t>
  </si>
  <si>
    <t>שלב 2 - ספרי אהוד</t>
  </si>
  <si>
    <t>שלב 1 - ספרי נטע</t>
  </si>
  <si>
    <t>שלב 3 - יתרת עודף עלות</t>
  </si>
  <si>
    <t>100000*6/10=</t>
  </si>
  <si>
    <t>110000*6/7.5=</t>
  </si>
  <si>
    <t>(70000-60000)*0.4=</t>
  </si>
  <si>
    <t>דיבידנד</t>
  </si>
  <si>
    <t>(40000-15000)*0.4=</t>
  </si>
  <si>
    <t>מדיניות מלאי (5)</t>
  </si>
  <si>
    <t>הסתייגות חומ"ס (6)</t>
  </si>
  <si>
    <t>(45000-40000)*0.74*0.4=</t>
  </si>
  <si>
    <t>(65000-72000)*0.75*0.4=</t>
  </si>
  <si>
    <t>(5) מדיניות מלאי</t>
  </si>
  <si>
    <t>(6) הסתייגות חומ"ס</t>
  </si>
  <si>
    <t>60000*(1-0.25)*0.4=</t>
  </si>
  <si>
    <t>אקויטי 10</t>
  </si>
  <si>
    <t>(95000-100000*0.15)*0.4=</t>
  </si>
  <si>
    <t>100000*6/10*2/3=</t>
  </si>
  <si>
    <t>110000*6/7.5*2/3=</t>
  </si>
  <si>
    <t>(58667-40000)*0.4=</t>
  </si>
  <si>
    <t>עליית ערך ציוד, נטו (7)</t>
  </si>
  <si>
    <t>עליית ערך 10</t>
  </si>
  <si>
    <t>(7) בחינת ירידת/עליית ערך ציוד 31.12.10</t>
  </si>
  <si>
    <t>(8) מדיניות מלאי</t>
  </si>
  <si>
    <t>(48000-48000)*0.75*0.4=</t>
  </si>
  <si>
    <t>מדיניות מלאי (8)</t>
  </si>
  <si>
    <t>(60000-15000)*0.4=</t>
  </si>
  <si>
    <t>הרכב ח-ן השקעה 31.12.08</t>
  </si>
  <si>
    <t>חלק בשווי</t>
  </si>
  <si>
    <t>הסתיגות חומ"ס</t>
  </si>
  <si>
    <t>35000*0.4*0.74=</t>
  </si>
  <si>
    <t>5000*0.4*0.74=</t>
  </si>
  <si>
    <t>0.4*(110000-100000*7.5/10)*7/7.5=</t>
  </si>
  <si>
    <t>יתרת עודף עלות:</t>
  </si>
  <si>
    <t xml:space="preserve">  ציוד</t>
  </si>
  <si>
    <t xml:space="preserve">  מס נדחה</t>
  </si>
  <si>
    <t xml:space="preserve">  אג"ח</t>
  </si>
  <si>
    <t xml:space="preserve">  מוניטין</t>
  </si>
  <si>
    <t>הון 31.12.08</t>
  </si>
  <si>
    <t>613751+130000*0.5=</t>
  </si>
  <si>
    <t>בדיקה</t>
  </si>
  <si>
    <t>הרכב ח-ן השקעה 31.12.09</t>
  </si>
  <si>
    <t>(65000-72000)*0.4*0.75=</t>
  </si>
  <si>
    <t>60000*0.4*0.75=</t>
  </si>
  <si>
    <t>678751+130000-40000=</t>
  </si>
  <si>
    <t>הון 31.12.09</t>
  </si>
  <si>
    <t>(48000-48000)*0.4*0.75=</t>
  </si>
  <si>
    <t>768751+95000-60000-60000*0.75=</t>
  </si>
  <si>
    <t>הרכב ח-ן השקעה 31.12.10</t>
  </si>
  <si>
    <t>הון 31.12.10</t>
  </si>
  <si>
    <t>14000/7.5*6*0.25=</t>
  </si>
  <si>
    <t>מועד ג' סמסטר א' - תשע"ב - מאזנים מאוחדים א'</t>
  </si>
  <si>
    <t>שאלה בנושא 12-IAS</t>
  </si>
  <si>
    <t>דוח התאמה למס - שנת 2012</t>
  </si>
  <si>
    <t>רווח לפני מס בספרים:</t>
  </si>
  <si>
    <t>הוסף:</t>
  </si>
  <si>
    <t>הוצאות מימון אג"ח - ספרים (ג)</t>
  </si>
  <si>
    <t>V</t>
  </si>
  <si>
    <t>שכר דירה - הכנסות לצרכי מס (ד)</t>
  </si>
  <si>
    <t>פחת מכונה - ספרים</t>
  </si>
  <si>
    <t>120,000/9=</t>
  </si>
  <si>
    <t>ביטול ירידת ערך שנרשמה בספרים - מכונה</t>
  </si>
  <si>
    <t>100,000*8/10-50,000=</t>
  </si>
  <si>
    <t>כיבודים</t>
  </si>
  <si>
    <t>קנסות</t>
  </si>
  <si>
    <t>תרומה *</t>
  </si>
  <si>
    <t>הפחת:</t>
  </si>
  <si>
    <t xml:space="preserve">9,000/3 = </t>
  </si>
  <si>
    <t>ביטול עליית ערך שנרשמה בספרים - השקעה במניות "החוף"</t>
  </si>
  <si>
    <t>לפי מס רווח הון</t>
  </si>
  <si>
    <t>150,000-110,000=</t>
  </si>
  <si>
    <t>הוצאות מימון אג"ח - מס הכנסה</t>
  </si>
  <si>
    <t>שכר דירה - הכנסות בספרים (ד)</t>
  </si>
  <si>
    <t>90,000/3=</t>
  </si>
  <si>
    <t>פחת מכונה - מס הכנסה</t>
  </si>
  <si>
    <t>100,000/10=</t>
  </si>
  <si>
    <t>ביטול רווח מעליית ערך נדל"ן להשקעה (ו)</t>
  </si>
  <si>
    <t xml:space="preserve">110,000-50,000 = </t>
  </si>
  <si>
    <t>הכנסה חייבת</t>
  </si>
  <si>
    <t>חבות המס</t>
  </si>
  <si>
    <t>שיעור מס רגיל</t>
  </si>
  <si>
    <t>זיכוי - תרומה *</t>
  </si>
  <si>
    <t>10,000*0.3=</t>
  </si>
  <si>
    <t>ביאור מסים נדחים</t>
  </si>
  <si>
    <t>12/2011</t>
  </si>
  <si>
    <t>שינוי אחר</t>
  </si>
  <si>
    <t>12/2012</t>
  </si>
  <si>
    <t>הוצאות הנפקה (א)</t>
  </si>
  <si>
    <t>השקעה במניות חברת "החוף" - ניירות ערך למסחר (ב)</t>
  </si>
  <si>
    <t>אג"ח (ג)</t>
  </si>
  <si>
    <t>שכר דירה (ד)</t>
  </si>
  <si>
    <t>מכונה (ה)</t>
  </si>
  <si>
    <t>נדל"ן להשקעה (ו)</t>
  </si>
  <si>
    <t>חישוב הוצאות המס בספרים</t>
  </si>
  <si>
    <t>הוצאות מס שוטפות בספרים = חבות המס:</t>
  </si>
  <si>
    <t>הכנסות מס נדחות:</t>
  </si>
  <si>
    <t>שיעור מס רגיל - סיכום כל מה שמסומן ב-V בדוח ההתאמה - לפי שיעורי מס מתאימים</t>
  </si>
  <si>
    <t>שינוי בשיעור המס</t>
  </si>
  <si>
    <t>הכנסות מס נדחות סה"כ:</t>
  </si>
  <si>
    <t>סה"כ הוצאות המס בספרים</t>
  </si>
  <si>
    <t>ביאור מס תיאורטי</t>
  </si>
  <si>
    <t>מס תיאורטי</t>
  </si>
  <si>
    <t>1,000,000*0.25=</t>
  </si>
  <si>
    <t>1,000*0.25=</t>
  </si>
  <si>
    <t>10,000*0.25=</t>
  </si>
  <si>
    <t>10,000*(0.3-0.25)=</t>
  </si>
  <si>
    <t>נדל"ן להשקעה - מרכיב הפרשי מס (בגינו לא נוצר מס נדחה)</t>
  </si>
  <si>
    <t xml:space="preserve">60,000 * (0.25 - 0.2) = </t>
  </si>
  <si>
    <t>ביטול עליית ערך שנרשמה בספרים - מניות "החוף" - מרכיב הפרשי מס</t>
  </si>
  <si>
    <t xml:space="preserve">40,000 * (0.25 - 0.2) = </t>
  </si>
  <si>
    <t>הוצאות המס האפקטיביות בספרים</t>
  </si>
  <si>
    <t>ביאורים וחישובים</t>
  </si>
  <si>
    <t>(א)</t>
  </si>
  <si>
    <t>הוצאות הנפקה:</t>
  </si>
  <si>
    <t>יתרת מס נדחה 12/11:</t>
  </si>
  <si>
    <t>9,000*1/3*0.25=</t>
  </si>
  <si>
    <t>יתרת מס נדחה 12/12:</t>
  </si>
  <si>
    <t>(ב)</t>
  </si>
  <si>
    <t>השקעה במניות חברת "החוף"</t>
  </si>
  <si>
    <t>השקעה במניות "החוף" - ספרים - 12/11:</t>
  </si>
  <si>
    <t>100,000*1.1=</t>
  </si>
  <si>
    <t>השקעה במניות "החוף" - לצרכי מס - 12/11:</t>
  </si>
  <si>
    <t>יתרת מס נדחה בזכות 12/11 (מס רווח הון):</t>
  </si>
  <si>
    <t>10,000*0.2=</t>
  </si>
  <si>
    <t>השקעה במניות "החוף" - ספרים - 12/12:</t>
  </si>
  <si>
    <t>100,000*1.5=</t>
  </si>
  <si>
    <t>השקעה במניות "החוף" - לצרכי מס - 12/12:</t>
  </si>
  <si>
    <t>יתרת מס נדחה בזכות 12/12 (מס רווח הון):</t>
  </si>
  <si>
    <t>50,000*0.2=</t>
  </si>
  <si>
    <t>(ג)</t>
  </si>
  <si>
    <t>אג"ח שהונפקו</t>
  </si>
  <si>
    <t>תזרימי המזומנים בגין האג"ח:</t>
  </si>
  <si>
    <t xml:space="preserve">10,000 + 50,000*0.03 = </t>
  </si>
  <si>
    <t xml:space="preserve">10,000 + 40,000*0.03 = </t>
  </si>
  <si>
    <t xml:space="preserve">10,000 + 30,000*0.03 = </t>
  </si>
  <si>
    <t xml:space="preserve">10,000 + 20,000*0.03 = </t>
  </si>
  <si>
    <t xml:space="preserve">10,000 + 10,000*0.03 = </t>
  </si>
  <si>
    <t>תמורת ההנפקה ליום 1.1.11 - ברוטו:</t>
  </si>
  <si>
    <t>בניכוי הוצאות הנפקה</t>
  </si>
  <si>
    <t>אג"ח בספרים ליום 1.1.11:</t>
  </si>
  <si>
    <t>חישוב ריבית אפקטיבית בספרים:</t>
  </si>
  <si>
    <t>IRR=</t>
  </si>
  <si>
    <t>אג"ח בספרים ליום 31.12.11:</t>
  </si>
  <si>
    <t>NPV(0.092595,11200,10900,10600,10300)=</t>
  </si>
  <si>
    <t>אג"ח לצרכי מס ליום 31.12.11:</t>
  </si>
  <si>
    <t>NPV(0.05,11200,10900,10600,10300)=</t>
  </si>
  <si>
    <t>מס נדחה בזכות ליום 31.12.11:</t>
  </si>
  <si>
    <t xml:space="preserve">3,447 * 0.25 = </t>
  </si>
  <si>
    <t>הוצאות מימון אג"ח - ספרים - 2012:</t>
  </si>
  <si>
    <t xml:space="preserve">34,736 * 0.092595 = </t>
  </si>
  <si>
    <t>הוצאות מימון אג"ח - מס הכנסה - 2012:</t>
  </si>
  <si>
    <t xml:space="preserve">38,134 * 0.05 = </t>
  </si>
  <si>
    <t>אג"ח בספרים ליום 31.12.12:</t>
  </si>
  <si>
    <t>NPV(0.092595,10900,10600,10300)=</t>
  </si>
  <si>
    <t>אג"ח לצרכי מס ליום 31.12.12:</t>
  </si>
  <si>
    <t>NPV(0.05,10900,10600,10300)=</t>
  </si>
  <si>
    <t>יש לחשב את ההפרש כאמור גם ליום 31.12.13, מאחר ששיעור המס קבוע החל מיום 1.1.14:</t>
  </si>
  <si>
    <t>אג"ח בספרים ליום 31.12.13:</t>
  </si>
  <si>
    <t>NPV(0.092595,10600,10300)=</t>
  </si>
  <si>
    <t>אג"ח לצרכי מס ליום 31.12.13:</t>
  </si>
  <si>
    <t>NPV(0.05,10600,10300)=</t>
  </si>
  <si>
    <t>מתוך הפרש של 2,140 ש"ח ליום 31.12.12, 1,032 ש"ח ייסגרו בשנת 2013 והיתרה בסך 1,108 ש"ח תיסגר בשנים 2014-2015. לכן:</t>
  </si>
  <si>
    <t>מס נדחה בזכות ליום 31.12.12:</t>
  </si>
  <si>
    <t xml:space="preserve">1,032*0.27 + 1,108*0.3 = </t>
  </si>
  <si>
    <t>(ד)</t>
  </si>
  <si>
    <t>שכר דירה:</t>
  </si>
  <si>
    <t>חישוב יתרת מס נדחה בחובה ליום 31.12.12:</t>
  </si>
  <si>
    <t>30,000*0.27+30,000*0.3=</t>
  </si>
  <si>
    <t>בספרים, יירשמו הכנסות שנתיות בסך 30,000 ש"ח ב-2013 וב-2014.</t>
  </si>
  <si>
    <t>לצרכי מס, כל ההכנסות משכר דירה נרשמו ב-2012.</t>
  </si>
  <si>
    <t>(ה)</t>
  </si>
  <si>
    <t>מכונה:</t>
  </si>
  <si>
    <t>מס נדחה ליום 31.12.11</t>
  </si>
  <si>
    <t>מכונה - ספרים</t>
  </si>
  <si>
    <t>מכונה - מס הכנסה</t>
  </si>
  <si>
    <t>100,000 * 9/10 =</t>
  </si>
  <si>
    <t>מס נדחה בזכות ליום 31.12.11</t>
  </si>
  <si>
    <t xml:space="preserve">30,000 * 0.25 = </t>
  </si>
  <si>
    <t>מכונה בספרים, לאחר ירידת ערך, ליום 31.12.12</t>
  </si>
  <si>
    <t>מכונה לצרכי מס ליום 31.12.12</t>
  </si>
  <si>
    <t xml:space="preserve">100,000 * 8/10 = </t>
  </si>
  <si>
    <t>שינוי אחר (איפוס קרן שערוך בגין ירידת ערך)</t>
  </si>
  <si>
    <t xml:space="preserve">7,500 * 8/9 = </t>
  </si>
  <si>
    <t>שינוי (פחת)</t>
  </si>
  <si>
    <t xml:space="preserve">7,500 * 1/9 = </t>
  </si>
  <si>
    <t>שינוי (ירידת ערך שאינה מוכרת לצרכי מס)</t>
  </si>
  <si>
    <t>(80,000-50,000)*(1/8*0.27+7/8*0.3)=</t>
  </si>
  <si>
    <t>סה"כ שינוי - מכונה (ללא שינוי אחר)</t>
  </si>
  <si>
    <t>יתרת מס נדחה בחובה ליום 31.12.12</t>
  </si>
  <si>
    <t>מס הכנסה לא מכיר בירידת ערך מכונה, ולכן בסוף 2012 יש מס נדחה בחובה על ההפרש: 80,000-50,000</t>
  </si>
  <si>
    <t>(ו)</t>
  </si>
  <si>
    <t>נדל"ן להשקעה:</t>
  </si>
  <si>
    <t>יתרת מס נדחה בחובה - 31.12.11:</t>
  </si>
  <si>
    <t>(50,000-100,000)*0.2=</t>
  </si>
  <si>
    <t>יתרת מס נדחה בזכות - 31.12.12:</t>
  </si>
  <si>
    <t>(110,000-100,000)*0.2=</t>
  </si>
  <si>
    <t>הוצאות מס שוטפות</t>
  </si>
  <si>
    <t>תנועה בחשבון השקעה</t>
  </si>
  <si>
    <t>1.1.2012</t>
  </si>
  <si>
    <t>עלות (1)</t>
  </si>
  <si>
    <t>120,000*0.25=</t>
  </si>
  <si>
    <t>רווחי אקוויטי 2012  (2)</t>
  </si>
  <si>
    <t>20,000*3/6=</t>
  </si>
  <si>
    <t>הפחתת ע"ע זיכיון</t>
  </si>
  <si>
    <t>12,500/11=</t>
  </si>
  <si>
    <t>0.25*(30,392-21,116)=</t>
  </si>
  <si>
    <t>הפחתת ע"ע אג"ח לשלם (3)</t>
  </si>
  <si>
    <t>0.25*(13,884-19,895)=</t>
  </si>
  <si>
    <t>התאמת הסתייגות אג"ח (4)</t>
  </si>
  <si>
    <t>31.12.2012</t>
  </si>
  <si>
    <t>יתרה</t>
  </si>
  <si>
    <t>113,750*0.25=</t>
  </si>
  <si>
    <t>רווחי אקוויטי 2013  (5)</t>
  </si>
  <si>
    <t>20,000*2/6=</t>
  </si>
  <si>
    <t>הפחתת ע"ע הפרשה לתביעה (6)</t>
  </si>
  <si>
    <t>0.25*(21,116-11,011)=</t>
  </si>
  <si>
    <t>הפחתת ע"ע אג"ח לשלם (7)</t>
  </si>
  <si>
    <t>0.25*(7,273-13,884)=</t>
  </si>
  <si>
    <t>התאמת הסתייגות אג"ח (8)</t>
  </si>
  <si>
    <t>דיבידנד (9)</t>
  </si>
  <si>
    <t>18,750*0.25=</t>
  </si>
  <si>
    <t>31.12.2013</t>
  </si>
  <si>
    <t>107,500*0.25=</t>
  </si>
  <si>
    <t>רווחי אקוויטי 2014  (10)</t>
  </si>
  <si>
    <t>20,000*1/6=</t>
  </si>
  <si>
    <t>הפחתת ע"ע הפרשה לתביעה</t>
  </si>
  <si>
    <t xml:space="preserve">הפחתת ע"ע אג"ח לשלם </t>
  </si>
  <si>
    <t xml:space="preserve">התאמת הסתייגות אג"ח </t>
  </si>
  <si>
    <t>דיבידנד (11)</t>
  </si>
  <si>
    <t>37,500*0.25=</t>
  </si>
  <si>
    <t>31.12.2014</t>
  </si>
  <si>
    <t>הרכב חשבון השקעה 31.12.2012</t>
  </si>
  <si>
    <t>0.25*(500,000+120,000)=</t>
  </si>
  <si>
    <t>חלק בשווי מאזני</t>
  </si>
  <si>
    <t>13,884*0.25=</t>
  </si>
  <si>
    <t>הסתייגות</t>
  </si>
  <si>
    <t>יתרת עודף עלות</t>
  </si>
  <si>
    <t>זיכיון למתן שירותים</t>
  </si>
  <si>
    <t>12,500*10/11=</t>
  </si>
  <si>
    <t>הפרשה לתביעה משפטית</t>
  </si>
  <si>
    <t>0.25*21,116=</t>
  </si>
  <si>
    <t>הרכב חשבון השקעה 31.12.2013</t>
  </si>
  <si>
    <t>0.25*(620,000+113,750-18,750)=</t>
  </si>
  <si>
    <t>7,273*0.25=</t>
  </si>
  <si>
    <t>12,500*9/11=</t>
  </si>
  <si>
    <t>0.25*11,011=</t>
  </si>
  <si>
    <t>הרכב חשבון השקעה 31.12.2014</t>
  </si>
  <si>
    <t>0.25*(715,000+107,500-37,500)=</t>
  </si>
  <si>
    <t>12,500*8/11=</t>
  </si>
  <si>
    <t>ביאורים:</t>
  </si>
  <si>
    <t>(1)</t>
  </si>
  <si>
    <t>חישוב עודף עלות 1.1.2012</t>
  </si>
  <si>
    <t>הון מתוקן - חברה ב</t>
  </si>
  <si>
    <t>מציאת ריבית אפקטיבית לאג"ח כולל הוצאות הנפקה</t>
  </si>
  <si>
    <t>i (5,-369,670,32,000,400,000)=</t>
  </si>
  <si>
    <t>תיקון בגין אג"ח לשלם</t>
  </si>
  <si>
    <t>אג"ח קיים</t>
  </si>
  <si>
    <t>pv (3,10%,32,000,100,000)</t>
  </si>
  <si>
    <t>אג"ח צ"ל</t>
  </si>
  <si>
    <t>הון מתוקן</t>
  </si>
  <si>
    <t>25%*519,895=</t>
  </si>
  <si>
    <t>שווי מאזני נרכש</t>
  </si>
  <si>
    <t>ייחוס עודף עלות</t>
  </si>
  <si>
    <t>0.25*(200,000-120,000)=</t>
  </si>
  <si>
    <t>0.25*(600,000-550,000)=</t>
  </si>
  <si>
    <t>נכס בחכירה מימונית</t>
  </si>
  <si>
    <t>0.25*(120,000-210,000)=</t>
  </si>
  <si>
    <t>0.25*30,392=</t>
  </si>
  <si>
    <t>מציאת שווי בספרים - זיכיון</t>
  </si>
  <si>
    <t>5/36X=100,000</t>
  </si>
  <si>
    <t>עלות מקורית</t>
  </si>
  <si>
    <t>X=</t>
  </si>
  <si>
    <t>עלות מופחתת 1.1.2012</t>
  </si>
  <si>
    <t>720,000*6/36=</t>
  </si>
  <si>
    <t>מציאת שווי בספרים - נכס בחכירה</t>
  </si>
  <si>
    <t>(1.05^0.25-1)X=9,204.19</t>
  </si>
  <si>
    <t>750,000*11/15=</t>
  </si>
  <si>
    <t>מציאת שווי הוגן הפרשה לתביעה</t>
  </si>
  <si>
    <t>1,000,000*0.05+500,000*0.2+300,000*0.2=</t>
  </si>
  <si>
    <t>ייחוס עודף עלות לאג"ח לשלם</t>
  </si>
  <si>
    <t>pv (3,7%,32,000,100,000)</t>
  </si>
  <si>
    <t>שווי הוגן</t>
  </si>
  <si>
    <t>שווי ספרים</t>
  </si>
  <si>
    <t>(2)</t>
  </si>
  <si>
    <t>מס נדחה בגין רווחי אקוויטי 2012</t>
  </si>
  <si>
    <t>120,000*0.25*0.25=</t>
  </si>
  <si>
    <t>חלקה של א' במס שתשלם ב</t>
  </si>
  <si>
    <t>120,000*0.75*0.25*0.15=</t>
  </si>
  <si>
    <t>מס על דיבידנד שישולם על ידי א</t>
  </si>
  <si>
    <t>ח. הוצאות מס נדחות</t>
  </si>
  <si>
    <t>ח. רווחי אקוויטי</t>
  </si>
  <si>
    <t xml:space="preserve">   ז. מס נדחה</t>
  </si>
  <si>
    <t>(3)</t>
  </si>
  <si>
    <t>הפחתת ע"ע אג"ח לשלם 2012</t>
  </si>
  <si>
    <t>pv (2,7%,32,000,100,000)</t>
  </si>
  <si>
    <t>pv (2,10%,32,000,100,000)</t>
  </si>
  <si>
    <t>(4)</t>
  </si>
  <si>
    <t>התאמת הסתייגות אג"ח לשלם 2012</t>
  </si>
  <si>
    <t>(5)</t>
  </si>
  <si>
    <t>רווחי אקוויטי 2013+מיסים נדחים בגין רווחי אקוויטי</t>
  </si>
  <si>
    <t>רווח לפני מס</t>
  </si>
  <si>
    <t>25,000*0.25=</t>
  </si>
  <si>
    <t>הוצאות מס</t>
  </si>
  <si>
    <t>רווח נקי</t>
  </si>
  <si>
    <t>(6)</t>
  </si>
  <si>
    <t>הפחתת ע"ע תביעה משפטית 31.12.2013</t>
  </si>
  <si>
    <t>הפרשה לפי IAS37</t>
  </si>
  <si>
    <t>שווי הוגן ליום רכישה</t>
  </si>
  <si>
    <t>הפרש מקורי צ"ל</t>
  </si>
  <si>
    <t>הפרש מקורי קיים</t>
  </si>
  <si>
    <t>הפחתה</t>
  </si>
  <si>
    <t>(7)</t>
  </si>
  <si>
    <t>הפחתת ע"ע אג"ח לשלם 2013</t>
  </si>
  <si>
    <t>pv (1,7%,32,000,100,000)</t>
  </si>
  <si>
    <t>pv (1,10%,32,000,100,000)</t>
  </si>
  <si>
    <t>(8)</t>
  </si>
  <si>
    <t>התאמת הסתייגות אג"ח לשלם 2013</t>
  </si>
  <si>
    <t>(9)</t>
  </si>
  <si>
    <t>דיבידנד 30.9.2013</t>
  </si>
  <si>
    <t>25,000*0.75=</t>
  </si>
  <si>
    <t xml:space="preserve">סה"כ דיבידנד שחולק </t>
  </si>
  <si>
    <t>סגירת מס נדחה</t>
  </si>
  <si>
    <t>ח. מס נדחה</t>
  </si>
  <si>
    <t xml:space="preserve">      ז. הוצאות מס נדחות</t>
  </si>
  <si>
    <t>25,000*0.75*0.25*0.15=</t>
  </si>
  <si>
    <t>בגין מס על דיבידנד</t>
  </si>
  <si>
    <t xml:space="preserve">      ז. רווחי אקוויטי</t>
  </si>
  <si>
    <t>25,000*0.25*0.25=</t>
  </si>
  <si>
    <t>בגין מס חברות</t>
  </si>
  <si>
    <t>ח. הוצאות מס שוטפות</t>
  </si>
  <si>
    <t xml:space="preserve">  ז. מיסים לשלם</t>
  </si>
  <si>
    <t>(10)</t>
  </si>
  <si>
    <t>רווחי אקוויטי 2014+מיסים נדחים בגין רווחי אקוויטי</t>
  </si>
  <si>
    <t>50,000*0.25=</t>
  </si>
  <si>
    <t>(11)</t>
  </si>
  <si>
    <t>דיבידנד 31.12.2014</t>
  </si>
  <si>
    <t>50,000*0.75=</t>
  </si>
  <si>
    <t>50,000*0.75*0.25*0.15=</t>
  </si>
  <si>
    <t>50,000*0.25*0.25=</t>
  </si>
  <si>
    <t>אחוזי החזקה</t>
  </si>
  <si>
    <t>1/7/2011-31/12/2012</t>
  </si>
  <si>
    <t>1/1/2013-31/12/2013</t>
  </si>
  <si>
    <t>31/12/2013</t>
  </si>
  <si>
    <t>נדרש א:</t>
  </si>
  <si>
    <t>נדרש ב:</t>
  </si>
  <si>
    <t>ביאור</t>
  </si>
  <si>
    <t>31.12.2011</t>
  </si>
  <si>
    <t>הרכב חשבון השקעה</t>
  </si>
  <si>
    <t>1/7/2011</t>
  </si>
  <si>
    <t>עלות</t>
  </si>
  <si>
    <t>7-12/2011</t>
  </si>
  <si>
    <t>רווחי אקויטי</t>
  </si>
  <si>
    <t>=0.25*500000*6/12</t>
  </si>
  <si>
    <t>התאמה בגין הסתייגות</t>
  </si>
  <si>
    <t>הפחתת ע"ע</t>
  </si>
  <si>
    <t>התאמה בגין מדיניות מלאי</t>
  </si>
  <si>
    <t>התאמה בגין מדיניות רכוש קבוע</t>
  </si>
  <si>
    <t>הלוואה</t>
  </si>
  <si>
    <t>יתרת הפרש מקורי</t>
  </si>
  <si>
    <t>התאמה בגין הסתייגות נ"יע</t>
  </si>
  <si>
    <t>התאמה בגין מדיניות ר"ק</t>
  </si>
  <si>
    <t>פחת</t>
  </si>
  <si>
    <t>שערוך</t>
  </si>
  <si>
    <t>תיקון רטרו</t>
  </si>
  <si>
    <t>התאמה בגין הסתייגות ני"ע</t>
  </si>
  <si>
    <t>1.1.2013</t>
  </si>
  <si>
    <t>הפחתת עודף עלות</t>
  </si>
  <si>
    <t>התאמה בגין מדיניות</t>
  </si>
  <si>
    <t>שערוך מכונה</t>
  </si>
  <si>
    <t>לפני מכירה</t>
  </si>
  <si>
    <t>גריעה</t>
  </si>
  <si>
    <t>אחרי מכירה</t>
  </si>
  <si>
    <t>נדרש ג: השפעה על הדוח על הרווח הכולל</t>
  </si>
  <si>
    <t>קרן הון ני"ע</t>
  </si>
  <si>
    <t>חישוב עודף עלות</t>
  </si>
  <si>
    <t>קרן שערוך</t>
  </si>
  <si>
    <t>שווי נרכש</t>
  </si>
  <si>
    <t>הון עצמי מתוקן</t>
  </si>
  <si>
    <t>נתון</t>
  </si>
  <si>
    <t>רווח הון</t>
  </si>
  <si>
    <t>הנפקה</t>
  </si>
  <si>
    <t>=(1500000-700000)*0.75</t>
  </si>
  <si>
    <t>פ"י מתקנת בגין קרן הון ני"ע זמינים למכירה  מנקודת חברת תפוז (שנת 2012)</t>
  </si>
  <si>
    <t>=(650000-750000)*0.75</t>
  </si>
  <si>
    <t>ח רווחי אקויטי</t>
  </si>
  <si>
    <t>=(5200000-4600000)*0.75</t>
  </si>
  <si>
    <t>ז קרן הון</t>
  </si>
  <si>
    <t>שחזורים- מאזן בננה</t>
  </si>
  <si>
    <t>ניירות ערך זמינים</t>
  </si>
  <si>
    <t>עלות פיפו</t>
  </si>
  <si>
    <t>רכוש קבוע</t>
  </si>
  <si>
    <t>=6000000*11.5/15</t>
  </si>
  <si>
    <t>עודפים</t>
  </si>
  <si>
    <t>PN</t>
  </si>
  <si>
    <t>לפני תיקון</t>
  </si>
  <si>
    <t>1.7.2011</t>
  </si>
  <si>
    <t>ספרים</t>
  </si>
  <si>
    <t>=-(PV(0.09,4,350000,5000000)*1.09^0.5)</t>
  </si>
  <si>
    <t>=-PV(0.09,3,350000,5000000)</t>
  </si>
  <si>
    <t>מתוקן</t>
  </si>
  <si>
    <t>=-PV(0.1,2,350000,5000000)</t>
  </si>
  <si>
    <t>=-PV(0.1,1,350000,5000000)</t>
  </si>
  <si>
    <t>31/12/2011</t>
  </si>
  <si>
    <t>=-(PV(0.1,4,350000,5000000)*1.1^0.5+175000)</t>
  </si>
  <si>
    <t>=-PV(0.1,3,350000,5000000)</t>
  </si>
  <si>
    <t>ספרי בננה</t>
  </si>
  <si>
    <t>ספרי תפוז</t>
  </si>
  <si>
    <t>בננה</t>
  </si>
  <si>
    <t>תפוז</t>
  </si>
  <si>
    <t>נקודת מבט תפוז</t>
  </si>
  <si>
    <t>שערוך ספרי בננה נרשם</t>
  </si>
  <si>
    <t>עליה בשיעור החזקה - חישוב עודף עלות 2</t>
  </si>
  <si>
    <t>הכל מיוחס למוניטין</t>
  </si>
  <si>
    <t>הפחתת עודף עלות 2013 - שינוי בשיעור מס</t>
  </si>
  <si>
    <t>31.12.12</t>
  </si>
  <si>
    <t>31.12.13</t>
  </si>
  <si>
    <t>התאמה בגין מדיניות מלאי - שינוי בשיעור המס</t>
  </si>
  <si>
    <t>ספרי בננה נטו</t>
  </si>
  <si>
    <t>שערוך מכונה-שינוי בשיעור מס</t>
  </si>
  <si>
    <t>ספרי בננה- נטו</t>
  </si>
  <si>
    <t xml:space="preserve">מכירת 550 מניות- ירידה בשיעור החזקה </t>
  </si>
  <si>
    <t>ח מזומן</t>
  </si>
  <si>
    <t>ז השקעה</t>
  </si>
  <si>
    <t>ז רווח הון</t>
  </si>
  <si>
    <t xml:space="preserve">הפחתת ע"ע מכונה  בחכירה </t>
  </si>
  <si>
    <t xml:space="preserve">הפחתת ע"ע מכונה בחכירה </t>
  </si>
  <si>
    <t>5000000+5000000*0.07*0.5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</si>
</sst>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₪&quot;\ #,##0.00;[Red]&quot;₪&quot;\ \-#,##0.00"/>
    <numFmt numFmtId="43" formatCode="_ * #,##0.00_ ;_ * \-#,##0.00_ ;_ * &quot;-&quot;??_ ;_ @_ "/>
    <numFmt numFmtId="164" formatCode="&quot;$&quot;#,##0.00_);[Red]\(&quot;$&quot;#,##0.00\)"/>
    <numFmt numFmtId="165" formatCode="#,##0_ ;[Red]\-#,##0\ "/>
    <numFmt numFmtId="166" formatCode="_(* #,##0_);_(* \(#,##0\);_(* &quot;-&quot;??_);_(@_)"/>
    <numFmt numFmtId="167" formatCode="0.0000%"/>
    <numFmt numFmtId="168" formatCode="_ * #,##0_ ;_ * \(#,##0\)_);_ * &quot;-&quot;??_ ;_ @_ "/>
  </numFmts>
  <fonts count="2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2"/>
      <color theme="1"/>
      <name val="David"/>
      <charset val="177"/>
    </font>
    <font>
      <b/>
      <u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name val="Arial"/>
      <family val="2"/>
    </font>
    <font>
      <b/>
      <u/>
      <sz val="10"/>
      <name val="Arial"/>
      <family val="2"/>
    </font>
    <font>
      <sz val="11"/>
      <color theme="1"/>
      <name val="Arial"/>
      <family val="2"/>
      <charset val="177"/>
      <scheme val="minor"/>
    </font>
    <font>
      <b/>
      <i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i/>
      <u/>
      <sz val="11"/>
      <color theme="1"/>
      <name val="Arial"/>
      <family val="2"/>
      <scheme val="minor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2" fillId="0" borderId="0" xfId="0" applyFont="1"/>
    <xf numFmtId="3" fontId="3" fillId="0" borderId="0" xfId="0" applyNumberFormat="1" applyFont="1" applyAlignment="1">
      <alignment horizontal="center" wrapText="1" readingOrder="2"/>
    </xf>
    <xf numFmtId="0" fontId="3" fillId="0" borderId="0" xfId="0" applyFont="1" applyAlignment="1">
      <alignment horizontal="center" wrapText="1" readingOrder="2"/>
    </xf>
    <xf numFmtId="3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8" fontId="0" fillId="0" borderId="0" xfId="0" applyNumberFormat="1"/>
    <xf numFmtId="0" fontId="0" fillId="0" borderId="0" xfId="0" applyFill="1" applyBorder="1"/>
    <xf numFmtId="9" fontId="0" fillId="0" borderId="0" xfId="0" applyNumberFormat="1"/>
    <xf numFmtId="10" fontId="0" fillId="0" borderId="3" xfId="0" applyNumberFormat="1" applyBorder="1"/>
    <xf numFmtId="3" fontId="0" fillId="0" borderId="2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4" fillId="2" borderId="0" xfId="0" applyFont="1" applyFill="1" applyAlignment="1">
      <alignment horizontal="center" vertical="center" wrapText="1" shrinkToFit="1"/>
    </xf>
    <xf numFmtId="3" fontId="4" fillId="2" borderId="0" xfId="0" applyNumberFormat="1" applyFont="1" applyFill="1" applyAlignment="1">
      <alignment horizontal="center" vertical="center" wrapText="1" shrinkToFit="1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right" readingOrder="2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" fillId="0" borderId="0" xfId="0" applyFont="1"/>
    <xf numFmtId="0" fontId="11" fillId="0" borderId="0" xfId="1" applyFont="1"/>
    <xf numFmtId="0" fontId="10" fillId="0" borderId="0" xfId="1"/>
    <xf numFmtId="0" fontId="10" fillId="0" borderId="0" xfId="1" applyFill="1"/>
    <xf numFmtId="166" fontId="10" fillId="0" borderId="0" xfId="1" applyNumberFormat="1" applyFill="1"/>
    <xf numFmtId="0" fontId="11" fillId="0" borderId="0" xfId="1" applyFont="1" applyFill="1"/>
    <xf numFmtId="0" fontId="10" fillId="0" borderId="0" xfId="2" applyFont="1" applyFill="1"/>
    <xf numFmtId="0" fontId="10" fillId="0" borderId="0" xfId="1" quotePrefix="1" applyFill="1"/>
    <xf numFmtId="43" fontId="10" fillId="0" borderId="0" xfId="1" applyNumberFormat="1" applyFill="1"/>
    <xf numFmtId="0" fontId="10" fillId="0" borderId="0" xfId="1" applyFont="1" applyFill="1"/>
    <xf numFmtId="0" fontId="12" fillId="0" borderId="0" xfId="1" applyFont="1" applyFill="1"/>
    <xf numFmtId="166" fontId="11" fillId="0" borderId="0" xfId="1" applyNumberFormat="1" applyFont="1" applyFill="1"/>
    <xf numFmtId="0" fontId="10" fillId="0" borderId="0" xfId="3"/>
    <xf numFmtId="166" fontId="10" fillId="0" borderId="0" xfId="3" applyNumberFormat="1"/>
    <xf numFmtId="0" fontId="10" fillId="0" borderId="0" xfId="3" quotePrefix="1" applyFont="1"/>
    <xf numFmtId="0" fontId="12" fillId="0" borderId="0" xfId="3" applyFont="1"/>
    <xf numFmtId="0" fontId="10" fillId="0" borderId="0" xfId="3" applyFont="1"/>
    <xf numFmtId="166" fontId="11" fillId="0" borderId="0" xfId="1" applyNumberFormat="1" applyFont="1"/>
    <xf numFmtId="166" fontId="10" fillId="0" borderId="0" xfId="1" applyNumberFormat="1"/>
    <xf numFmtId="0" fontId="10" fillId="0" borderId="0" xfId="1" quotePrefix="1"/>
    <xf numFmtId="0" fontId="11" fillId="0" borderId="0" xfId="1" quotePrefix="1" applyFont="1" applyFill="1" applyAlignment="1">
      <alignment horizontal="center"/>
    </xf>
    <xf numFmtId="0" fontId="11" fillId="0" borderId="0" xfId="1" applyFont="1" applyFill="1" applyAlignment="1">
      <alignment horizontal="center"/>
    </xf>
    <xf numFmtId="0" fontId="10" fillId="0" borderId="0" xfId="3" applyFont="1" applyAlignment="1">
      <alignment readingOrder="2"/>
    </xf>
    <xf numFmtId="0" fontId="10" fillId="0" borderId="0" xfId="1" applyFont="1"/>
    <xf numFmtId="0" fontId="10" fillId="0" borderId="0" xfId="2" applyFont="1"/>
    <xf numFmtId="166" fontId="12" fillId="0" borderId="0" xfId="1" applyNumberFormat="1" applyFont="1" applyFill="1"/>
    <xf numFmtId="0" fontId="12" fillId="0" borderId="0" xfId="3" applyFont="1" applyFill="1"/>
    <xf numFmtId="166" fontId="10" fillId="0" borderId="0" xfId="3" applyNumberFormat="1" applyFill="1"/>
    <xf numFmtId="0" fontId="10" fillId="0" borderId="0" xfId="3" applyFill="1"/>
    <xf numFmtId="0" fontId="10" fillId="0" borderId="0" xfId="3" applyFont="1" applyFill="1"/>
    <xf numFmtId="0" fontId="11" fillId="0" borderId="0" xfId="1" applyFont="1" applyFill="1" applyAlignment="1"/>
    <xf numFmtId="0" fontId="10" fillId="0" borderId="0" xfId="3" applyAlignment="1">
      <alignment readingOrder="2"/>
    </xf>
    <xf numFmtId="0" fontId="13" fillId="0" borderId="0" xfId="1" applyFont="1" applyFill="1"/>
    <xf numFmtId="0" fontId="10" fillId="0" borderId="1" xfId="1" applyBorder="1"/>
    <xf numFmtId="166" fontId="10" fillId="0" borderId="1" xfId="1" applyNumberFormat="1" applyFill="1" applyBorder="1"/>
    <xf numFmtId="166" fontId="10" fillId="0" borderId="1" xfId="1" applyNumberFormat="1" applyBorder="1"/>
    <xf numFmtId="0" fontId="11" fillId="0" borderId="0" xfId="4" applyFont="1" applyFill="1"/>
    <xf numFmtId="3" fontId="10" fillId="0" borderId="0" xfId="2" applyNumberFormat="1" applyFill="1"/>
    <xf numFmtId="0" fontId="10" fillId="0" borderId="0" xfId="2" applyFill="1"/>
    <xf numFmtId="0" fontId="14" fillId="0" borderId="0" xfId="2" applyFont="1" applyFill="1"/>
    <xf numFmtId="0" fontId="10" fillId="0" borderId="0" xfId="4" applyFill="1"/>
    <xf numFmtId="0" fontId="12" fillId="0" borderId="0" xfId="2" applyFont="1" applyFill="1"/>
    <xf numFmtId="0" fontId="10" fillId="0" borderId="0" xfId="4"/>
    <xf numFmtId="0" fontId="10" fillId="0" borderId="0" xfId="4" quotePrefix="1"/>
    <xf numFmtId="14" fontId="12" fillId="0" borderId="0" xfId="3" applyNumberFormat="1" applyFont="1" applyFill="1"/>
    <xf numFmtId="17" fontId="12" fillId="0" borderId="0" xfId="2" applyNumberFormat="1" applyFont="1" applyFill="1"/>
    <xf numFmtId="14" fontId="10" fillId="0" borderId="0" xfId="4" applyNumberFormat="1"/>
    <xf numFmtId="0" fontId="10" fillId="0" borderId="0" xfId="4" applyFont="1"/>
    <xf numFmtId="167" fontId="0" fillId="0" borderId="0" xfId="5" applyNumberFormat="1" applyFont="1" applyFill="1"/>
    <xf numFmtId="166" fontId="12" fillId="0" borderId="0" xfId="4" applyNumberFormat="1" applyFont="1" applyFill="1"/>
    <xf numFmtId="164" fontId="10" fillId="0" borderId="0" xfId="4" quotePrefix="1" applyNumberFormat="1" applyFont="1"/>
    <xf numFmtId="166" fontId="11" fillId="0" borderId="0" xfId="4" applyNumberFormat="1" applyFont="1" applyFill="1"/>
    <xf numFmtId="0" fontId="10" fillId="0" borderId="0" xfId="4" quotePrefix="1" applyFont="1" applyFill="1"/>
    <xf numFmtId="0" fontId="10" fillId="0" borderId="0" xfId="4" quotePrefix="1" applyFont="1"/>
    <xf numFmtId="166" fontId="10" fillId="0" borderId="0" xfId="4" applyNumberFormat="1"/>
    <xf numFmtId="0" fontId="11" fillId="0" borderId="0" xfId="4" applyFont="1"/>
    <xf numFmtId="0" fontId="11" fillId="0" borderId="0" xfId="3" applyFont="1"/>
    <xf numFmtId="0" fontId="13" fillId="0" borderId="0" xfId="3" applyFont="1"/>
    <xf numFmtId="3" fontId="10" fillId="0" borderId="0" xfId="3" applyNumberFormat="1"/>
    <xf numFmtId="0" fontId="10" fillId="0" borderId="0" xfId="3" quotePrefix="1"/>
    <xf numFmtId="0" fontId="13" fillId="0" borderId="0" xfId="3" applyFont="1" applyAlignment="1">
      <alignment readingOrder="2"/>
    </xf>
    <xf numFmtId="0" fontId="4" fillId="0" borderId="0" xfId="0" applyFont="1"/>
    <xf numFmtId="168" fontId="0" fillId="0" borderId="0" xfId="0" applyNumberFormat="1" applyBorder="1"/>
    <xf numFmtId="168" fontId="0" fillId="0" borderId="0" xfId="0" applyNumberFormat="1" applyFill="1" applyBorder="1"/>
    <xf numFmtId="168" fontId="0" fillId="0" borderId="4" xfId="0" applyNumberFormat="1" applyBorder="1"/>
    <xf numFmtId="168" fontId="1" fillId="0" borderId="0" xfId="0" applyNumberFormat="1" applyFont="1" applyFill="1" applyBorder="1"/>
    <xf numFmtId="0" fontId="17" fillId="0" borderId="0" xfId="0" applyFont="1"/>
    <xf numFmtId="49" fontId="18" fillId="0" borderId="0" xfId="0" applyNumberFormat="1" applyFont="1" applyBorder="1"/>
    <xf numFmtId="0" fontId="19" fillId="0" borderId="0" xfId="0" applyFont="1"/>
    <xf numFmtId="168" fontId="1" fillId="0" borderId="5" xfId="0" applyNumberFormat="1" applyFont="1" applyBorder="1"/>
    <xf numFmtId="168" fontId="0" fillId="0" borderId="6" xfId="0" applyNumberFormat="1" applyBorder="1"/>
    <xf numFmtId="168" fontId="0" fillId="0" borderId="7" xfId="0" applyNumberFormat="1" applyBorder="1"/>
    <xf numFmtId="168" fontId="0" fillId="0" borderId="8" xfId="0" applyNumberFormat="1" applyBorder="1"/>
    <xf numFmtId="168" fontId="0" fillId="0" borderId="9" xfId="0" applyNumberFormat="1" applyBorder="1"/>
    <xf numFmtId="168" fontId="0" fillId="0" borderId="10" xfId="0" applyNumberFormat="1" applyBorder="1"/>
    <xf numFmtId="10" fontId="1" fillId="0" borderId="1" xfId="6" applyNumberFormat="1" applyFont="1" applyBorder="1"/>
    <xf numFmtId="168" fontId="0" fillId="0" borderId="1" xfId="0" applyNumberFormat="1" applyBorder="1"/>
    <xf numFmtId="168" fontId="0" fillId="0" borderId="11" xfId="0" applyNumberFormat="1" applyBorder="1"/>
    <xf numFmtId="0" fontId="0" fillId="0" borderId="0" xfId="0" applyBorder="1"/>
    <xf numFmtId="0" fontId="19" fillId="0" borderId="0" xfId="0" applyFont="1" applyBorder="1"/>
    <xf numFmtId="9" fontId="1" fillId="0" borderId="0" xfId="6" applyFont="1" applyBorder="1"/>
    <xf numFmtId="168" fontId="1" fillId="0" borderId="0" xfId="0" applyNumberFormat="1" applyFont="1" applyBorder="1"/>
    <xf numFmtId="168" fontId="0" fillId="0" borderId="0" xfId="0" applyNumberFormat="1"/>
    <xf numFmtId="1" fontId="12" fillId="0" borderId="0" xfId="7" applyNumberFormat="1" applyFont="1" applyFill="1" applyBorder="1"/>
    <xf numFmtId="2" fontId="15" fillId="0" borderId="0" xfId="7" applyNumberFormat="1" applyFont="1" applyFill="1" applyBorder="1"/>
    <xf numFmtId="1" fontId="12" fillId="0" borderId="0" xfId="7" applyNumberFormat="1" applyFont="1" applyFill="1" applyBorder="1" applyAlignment="1">
      <alignment horizontal="center"/>
    </xf>
    <xf numFmtId="2" fontId="12" fillId="0" borderId="0" xfId="7" quotePrefix="1" applyNumberFormat="1" applyFont="1" applyFill="1" applyBorder="1"/>
    <xf numFmtId="10" fontId="12" fillId="0" borderId="0" xfId="7" applyNumberFormat="1" applyFont="1" applyFill="1" applyBorder="1" applyAlignment="1">
      <alignment horizontal="center"/>
    </xf>
    <xf numFmtId="1" fontId="15" fillId="0" borderId="0" xfId="7" applyNumberFormat="1" applyFont="1" applyFill="1" applyBorder="1"/>
    <xf numFmtId="1" fontId="15" fillId="0" borderId="0" xfId="7" applyNumberFormat="1" applyFont="1" applyFill="1" applyBorder="1" applyAlignment="1">
      <alignment horizontal="center"/>
    </xf>
    <xf numFmtId="2" fontId="12" fillId="0" borderId="0" xfId="7" applyNumberFormat="1" applyFont="1" applyFill="1" applyBorder="1"/>
    <xf numFmtId="1" fontId="12" fillId="0" borderId="0" xfId="7" quotePrefix="1" applyNumberFormat="1" applyFont="1" applyFill="1" applyBorder="1"/>
    <xf numFmtId="2" fontId="14" fillId="0" borderId="0" xfId="7" applyNumberFormat="1" applyFont="1" applyFill="1" applyBorder="1"/>
    <xf numFmtId="1" fontId="11" fillId="0" borderId="0" xfId="7" applyNumberFormat="1" applyFont="1" applyFill="1" applyBorder="1" applyAlignment="1">
      <alignment horizontal="center"/>
    </xf>
    <xf numFmtId="1" fontId="14" fillId="0" borderId="0" xfId="7" applyNumberFormat="1" applyFont="1" applyFill="1" applyBorder="1"/>
    <xf numFmtId="1" fontId="12" fillId="0" borderId="12" xfId="7" applyNumberFormat="1" applyFont="1" applyFill="1" applyBorder="1"/>
    <xf numFmtId="1" fontId="12" fillId="0" borderId="1" xfId="7" quotePrefix="1" applyNumberFormat="1" applyFont="1" applyFill="1" applyBorder="1"/>
    <xf numFmtId="1" fontId="11" fillId="0" borderId="0" xfId="7" applyNumberFormat="1" applyFont="1" applyFill="1" applyBorder="1"/>
    <xf numFmtId="1" fontId="15" fillId="0" borderId="0" xfId="7" quotePrefix="1" applyNumberFormat="1" applyFont="1" applyFill="1" applyBorder="1" applyAlignment="1">
      <alignment horizontal="center"/>
    </xf>
    <xf numFmtId="1" fontId="12" fillId="0" borderId="12" xfId="7" applyNumberFormat="1" applyFont="1" applyFill="1" applyBorder="1" applyAlignment="1">
      <alignment horizontal="center"/>
    </xf>
    <xf numFmtId="2" fontId="12" fillId="0" borderId="0" xfId="7" applyNumberFormat="1" applyFont="1" applyFill="1" applyBorder="1" applyAlignment="1">
      <alignment horizontal="center"/>
    </xf>
    <xf numFmtId="2" fontId="12" fillId="4" borderId="0" xfId="7" applyNumberFormat="1" applyFont="1" applyFill="1" applyBorder="1" applyAlignment="1">
      <alignment horizontal="center"/>
    </xf>
    <xf numFmtId="37" fontId="12" fillId="0" borderId="0" xfId="7" applyNumberFormat="1" applyFont="1" applyFill="1" applyBorder="1"/>
    <xf numFmtId="37" fontId="12" fillId="0" borderId="0" xfId="7" quotePrefix="1" applyNumberFormat="1" applyFont="1" applyFill="1" applyBorder="1"/>
    <xf numFmtId="37" fontId="12" fillId="0" borderId="12" xfId="7" quotePrefix="1" applyNumberFormat="1" applyFont="1" applyFill="1" applyBorder="1"/>
    <xf numFmtId="37" fontId="12" fillId="0" borderId="1" xfId="7" quotePrefix="1" applyNumberFormat="1" applyFont="1" applyFill="1" applyBorder="1"/>
    <xf numFmtId="37" fontId="12" fillId="0" borderId="12" xfId="7" applyNumberFormat="1" applyFont="1" applyFill="1" applyBorder="1"/>
    <xf numFmtId="37" fontId="12" fillId="3" borderId="0" xfId="7" applyNumberFormat="1" applyFont="1" applyFill="1" applyBorder="1"/>
    <xf numFmtId="37" fontId="12" fillId="0" borderId="0" xfId="7" applyNumberFormat="1" applyFont="1" applyFill="1" applyBorder="1" applyAlignment="1">
      <alignment horizontal="center"/>
    </xf>
    <xf numFmtId="37" fontId="12" fillId="0" borderId="1" xfId="7" applyNumberFormat="1" applyFont="1" applyFill="1" applyBorder="1"/>
    <xf numFmtId="37" fontId="15" fillId="0" borderId="0" xfId="7" quotePrefix="1" applyNumberFormat="1" applyFont="1" applyFill="1" applyBorder="1"/>
    <xf numFmtId="37" fontId="12" fillId="0" borderId="12" xfId="7" applyNumberFormat="1" applyFont="1" applyFill="1" applyBorder="1" applyAlignment="1">
      <alignment horizontal="center"/>
    </xf>
    <xf numFmtId="37" fontId="12" fillId="0" borderId="0" xfId="7" applyNumberFormat="1" applyFont="1" applyFill="1" applyBorder="1" applyAlignment="1">
      <alignment horizontal="right"/>
    </xf>
    <xf numFmtId="37" fontId="15" fillId="0" borderId="0" xfId="7" applyNumberFormat="1" applyFont="1" applyFill="1" applyBorder="1" applyAlignment="1">
      <alignment horizontal="center"/>
    </xf>
    <xf numFmtId="37" fontId="12" fillId="4" borderId="12" xfId="7" applyNumberFormat="1" applyFont="1" applyFill="1" applyBorder="1" applyAlignment="1">
      <alignment horizontal="center"/>
    </xf>
  </cellXfs>
  <cellStyles count="8">
    <cellStyle name="Normal" xfId="0" builtinId="0"/>
    <cellStyle name="Normal 2" xfId="1"/>
    <cellStyle name="Normal 2 2" xfId="3"/>
    <cellStyle name="Normal 2_מועד_ג_תשעא_יאס12" xfId="2"/>
    <cellStyle name="Normal 3" xfId="7"/>
    <cellStyle name="Normal_מועד_ג_תשעא_יאס12" xfId="4"/>
    <cellStyle name="Percent" xfId="6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57150</xdr:rowOff>
    </xdr:from>
    <xdr:to>
      <xdr:col>10</xdr:col>
      <xdr:colOff>390525</xdr:colOff>
      <xdr:row>63</xdr:row>
      <xdr:rowOff>38100</xdr:rowOff>
    </xdr:to>
    <xdr:cxnSp macro="">
      <xdr:nvCxnSpPr>
        <xdr:cNvPr id="3" name="מחבר חץ ישר 2"/>
        <xdr:cNvCxnSpPr/>
      </xdr:nvCxnSpPr>
      <xdr:spPr>
        <a:xfrm flipH="1" flipV="1">
          <a:off x="11229774975" y="2276475"/>
          <a:ext cx="1247775" cy="40100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638176</xdr:colOff>
      <xdr:row>221</xdr:row>
      <xdr:rowOff>152400</xdr:rowOff>
    </xdr:from>
    <xdr:to>
      <xdr:col>6</xdr:col>
      <xdr:colOff>47625</xdr:colOff>
      <xdr:row>224</xdr:row>
      <xdr:rowOff>38100</xdr:rowOff>
    </xdr:to>
    <xdr:sp macro="" textlink="">
      <xdr:nvSpPr>
        <xdr:cNvPr id="4" name="TextBox 3"/>
        <xdr:cNvSpPr txBox="1"/>
      </xdr:nvSpPr>
      <xdr:spPr>
        <a:xfrm>
          <a:off x="11232432450" y="40833675"/>
          <a:ext cx="809624" cy="4286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he-IL" sz="1100"/>
            <a:t>תיקון עודפים י.פ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rightToLeft="1" topLeftCell="A52" zoomScaleNormal="75" workbookViewId="0">
      <selection activeCell="A26" sqref="A26"/>
    </sheetView>
  </sheetViews>
  <sheetFormatPr defaultRowHeight="12.75" x14ac:dyDescent="0.2"/>
  <cols>
    <col min="1" max="1" width="46.875" style="33" customWidth="1"/>
    <col min="2" max="2" width="13.125" style="33" bestFit="1" customWidth="1"/>
    <col min="3" max="3" width="8.625" style="33" bestFit="1" customWidth="1"/>
    <col min="4" max="4" width="9" style="33" bestFit="1" customWidth="1"/>
    <col min="5" max="5" width="9" style="33"/>
    <col min="6" max="6" width="9.5" style="33" bestFit="1" customWidth="1"/>
    <col min="7" max="7" width="8.875" style="33" customWidth="1"/>
    <col min="8" max="8" width="9" style="33"/>
    <col min="9" max="9" width="5.875" style="33" customWidth="1"/>
    <col min="10" max="10" width="18.25" style="33" bestFit="1" customWidth="1"/>
    <col min="11" max="11" width="28.625" style="33" bestFit="1" customWidth="1"/>
    <col min="12" max="256" width="9" style="33"/>
    <col min="257" max="257" width="46.875" style="33" customWidth="1"/>
    <col min="258" max="258" width="13.125" style="33" bestFit="1" customWidth="1"/>
    <col min="259" max="259" width="8.625" style="33" bestFit="1" customWidth="1"/>
    <col min="260" max="260" width="9" style="33" bestFit="1" customWidth="1"/>
    <col min="261" max="261" width="9" style="33"/>
    <col min="262" max="262" width="9.5" style="33" bestFit="1" customWidth="1"/>
    <col min="263" max="263" width="8.875" style="33" customWidth="1"/>
    <col min="264" max="264" width="9" style="33"/>
    <col min="265" max="265" width="5.875" style="33" customWidth="1"/>
    <col min="266" max="266" width="18.25" style="33" bestFit="1" customWidth="1"/>
    <col min="267" max="267" width="28.625" style="33" bestFit="1" customWidth="1"/>
    <col min="268" max="512" width="9" style="33"/>
    <col min="513" max="513" width="46.875" style="33" customWidth="1"/>
    <col min="514" max="514" width="13.125" style="33" bestFit="1" customWidth="1"/>
    <col min="515" max="515" width="8.625" style="33" bestFit="1" customWidth="1"/>
    <col min="516" max="516" width="9" style="33" bestFit="1" customWidth="1"/>
    <col min="517" max="517" width="9" style="33"/>
    <col min="518" max="518" width="9.5" style="33" bestFit="1" customWidth="1"/>
    <col min="519" max="519" width="8.875" style="33" customWidth="1"/>
    <col min="520" max="520" width="9" style="33"/>
    <col min="521" max="521" width="5.875" style="33" customWidth="1"/>
    <col min="522" max="522" width="18.25" style="33" bestFit="1" customWidth="1"/>
    <col min="523" max="523" width="28.625" style="33" bestFit="1" customWidth="1"/>
    <col min="524" max="768" width="9" style="33"/>
    <col min="769" max="769" width="46.875" style="33" customWidth="1"/>
    <col min="770" max="770" width="13.125" style="33" bestFit="1" customWidth="1"/>
    <col min="771" max="771" width="8.625" style="33" bestFit="1" customWidth="1"/>
    <col min="772" max="772" width="9" style="33" bestFit="1" customWidth="1"/>
    <col min="773" max="773" width="9" style="33"/>
    <col min="774" max="774" width="9.5" style="33" bestFit="1" customWidth="1"/>
    <col min="775" max="775" width="8.875" style="33" customWidth="1"/>
    <col min="776" max="776" width="9" style="33"/>
    <col min="777" max="777" width="5.875" style="33" customWidth="1"/>
    <col min="778" max="778" width="18.25" style="33" bestFit="1" customWidth="1"/>
    <col min="779" max="779" width="28.625" style="33" bestFit="1" customWidth="1"/>
    <col min="780" max="1024" width="9" style="33"/>
    <col min="1025" max="1025" width="46.875" style="33" customWidth="1"/>
    <col min="1026" max="1026" width="13.125" style="33" bestFit="1" customWidth="1"/>
    <col min="1027" max="1027" width="8.625" style="33" bestFit="1" customWidth="1"/>
    <col min="1028" max="1028" width="9" style="33" bestFit="1" customWidth="1"/>
    <col min="1029" max="1029" width="9" style="33"/>
    <col min="1030" max="1030" width="9.5" style="33" bestFit="1" customWidth="1"/>
    <col min="1031" max="1031" width="8.875" style="33" customWidth="1"/>
    <col min="1032" max="1032" width="9" style="33"/>
    <col min="1033" max="1033" width="5.875" style="33" customWidth="1"/>
    <col min="1034" max="1034" width="18.25" style="33" bestFit="1" customWidth="1"/>
    <col min="1035" max="1035" width="28.625" style="33" bestFit="1" customWidth="1"/>
    <col min="1036" max="1280" width="9" style="33"/>
    <col min="1281" max="1281" width="46.875" style="33" customWidth="1"/>
    <col min="1282" max="1282" width="13.125" style="33" bestFit="1" customWidth="1"/>
    <col min="1283" max="1283" width="8.625" style="33" bestFit="1" customWidth="1"/>
    <col min="1284" max="1284" width="9" style="33" bestFit="1" customWidth="1"/>
    <col min="1285" max="1285" width="9" style="33"/>
    <col min="1286" max="1286" width="9.5" style="33" bestFit="1" customWidth="1"/>
    <col min="1287" max="1287" width="8.875" style="33" customWidth="1"/>
    <col min="1288" max="1288" width="9" style="33"/>
    <col min="1289" max="1289" width="5.875" style="33" customWidth="1"/>
    <col min="1290" max="1290" width="18.25" style="33" bestFit="1" customWidth="1"/>
    <col min="1291" max="1291" width="28.625" style="33" bestFit="1" customWidth="1"/>
    <col min="1292" max="1536" width="9" style="33"/>
    <col min="1537" max="1537" width="46.875" style="33" customWidth="1"/>
    <col min="1538" max="1538" width="13.125" style="33" bestFit="1" customWidth="1"/>
    <col min="1539" max="1539" width="8.625" style="33" bestFit="1" customWidth="1"/>
    <col min="1540" max="1540" width="9" style="33" bestFit="1" customWidth="1"/>
    <col min="1541" max="1541" width="9" style="33"/>
    <col min="1542" max="1542" width="9.5" style="33" bestFit="1" customWidth="1"/>
    <col min="1543" max="1543" width="8.875" style="33" customWidth="1"/>
    <col min="1544" max="1544" width="9" style="33"/>
    <col min="1545" max="1545" width="5.875" style="33" customWidth="1"/>
    <col min="1546" max="1546" width="18.25" style="33" bestFit="1" customWidth="1"/>
    <col min="1547" max="1547" width="28.625" style="33" bestFit="1" customWidth="1"/>
    <col min="1548" max="1792" width="9" style="33"/>
    <col min="1793" max="1793" width="46.875" style="33" customWidth="1"/>
    <col min="1794" max="1794" width="13.125" style="33" bestFit="1" customWidth="1"/>
    <col min="1795" max="1795" width="8.625" style="33" bestFit="1" customWidth="1"/>
    <col min="1796" max="1796" width="9" style="33" bestFit="1" customWidth="1"/>
    <col min="1797" max="1797" width="9" style="33"/>
    <col min="1798" max="1798" width="9.5" style="33" bestFit="1" customWidth="1"/>
    <col min="1799" max="1799" width="8.875" style="33" customWidth="1"/>
    <col min="1800" max="1800" width="9" style="33"/>
    <col min="1801" max="1801" width="5.875" style="33" customWidth="1"/>
    <col min="1802" max="1802" width="18.25" style="33" bestFit="1" customWidth="1"/>
    <col min="1803" max="1803" width="28.625" style="33" bestFit="1" customWidth="1"/>
    <col min="1804" max="2048" width="9" style="33"/>
    <col min="2049" max="2049" width="46.875" style="33" customWidth="1"/>
    <col min="2050" max="2050" width="13.125" style="33" bestFit="1" customWidth="1"/>
    <col min="2051" max="2051" width="8.625" style="33" bestFit="1" customWidth="1"/>
    <col min="2052" max="2052" width="9" style="33" bestFit="1" customWidth="1"/>
    <col min="2053" max="2053" width="9" style="33"/>
    <col min="2054" max="2054" width="9.5" style="33" bestFit="1" customWidth="1"/>
    <col min="2055" max="2055" width="8.875" style="33" customWidth="1"/>
    <col min="2056" max="2056" width="9" style="33"/>
    <col min="2057" max="2057" width="5.875" style="33" customWidth="1"/>
    <col min="2058" max="2058" width="18.25" style="33" bestFit="1" customWidth="1"/>
    <col min="2059" max="2059" width="28.625" style="33" bestFit="1" customWidth="1"/>
    <col min="2060" max="2304" width="9" style="33"/>
    <col min="2305" max="2305" width="46.875" style="33" customWidth="1"/>
    <col min="2306" max="2306" width="13.125" style="33" bestFit="1" customWidth="1"/>
    <col min="2307" max="2307" width="8.625" style="33" bestFit="1" customWidth="1"/>
    <col min="2308" max="2308" width="9" style="33" bestFit="1" customWidth="1"/>
    <col min="2309" max="2309" width="9" style="33"/>
    <col min="2310" max="2310" width="9.5" style="33" bestFit="1" customWidth="1"/>
    <col min="2311" max="2311" width="8.875" style="33" customWidth="1"/>
    <col min="2312" max="2312" width="9" style="33"/>
    <col min="2313" max="2313" width="5.875" style="33" customWidth="1"/>
    <col min="2314" max="2314" width="18.25" style="33" bestFit="1" customWidth="1"/>
    <col min="2315" max="2315" width="28.625" style="33" bestFit="1" customWidth="1"/>
    <col min="2316" max="2560" width="9" style="33"/>
    <col min="2561" max="2561" width="46.875" style="33" customWidth="1"/>
    <col min="2562" max="2562" width="13.125" style="33" bestFit="1" customWidth="1"/>
    <col min="2563" max="2563" width="8.625" style="33" bestFit="1" customWidth="1"/>
    <col min="2564" max="2564" width="9" style="33" bestFit="1" customWidth="1"/>
    <col min="2565" max="2565" width="9" style="33"/>
    <col min="2566" max="2566" width="9.5" style="33" bestFit="1" customWidth="1"/>
    <col min="2567" max="2567" width="8.875" style="33" customWidth="1"/>
    <col min="2568" max="2568" width="9" style="33"/>
    <col min="2569" max="2569" width="5.875" style="33" customWidth="1"/>
    <col min="2570" max="2570" width="18.25" style="33" bestFit="1" customWidth="1"/>
    <col min="2571" max="2571" width="28.625" style="33" bestFit="1" customWidth="1"/>
    <col min="2572" max="2816" width="9" style="33"/>
    <col min="2817" max="2817" width="46.875" style="33" customWidth="1"/>
    <col min="2818" max="2818" width="13.125" style="33" bestFit="1" customWidth="1"/>
    <col min="2819" max="2819" width="8.625" style="33" bestFit="1" customWidth="1"/>
    <col min="2820" max="2820" width="9" style="33" bestFit="1" customWidth="1"/>
    <col min="2821" max="2821" width="9" style="33"/>
    <col min="2822" max="2822" width="9.5" style="33" bestFit="1" customWidth="1"/>
    <col min="2823" max="2823" width="8.875" style="33" customWidth="1"/>
    <col min="2824" max="2824" width="9" style="33"/>
    <col min="2825" max="2825" width="5.875" style="33" customWidth="1"/>
    <col min="2826" max="2826" width="18.25" style="33" bestFit="1" customWidth="1"/>
    <col min="2827" max="2827" width="28.625" style="33" bestFit="1" customWidth="1"/>
    <col min="2828" max="3072" width="9" style="33"/>
    <col min="3073" max="3073" width="46.875" style="33" customWidth="1"/>
    <col min="3074" max="3074" width="13.125" style="33" bestFit="1" customWidth="1"/>
    <col min="3075" max="3075" width="8.625" style="33" bestFit="1" customWidth="1"/>
    <col min="3076" max="3076" width="9" style="33" bestFit="1" customWidth="1"/>
    <col min="3077" max="3077" width="9" style="33"/>
    <col min="3078" max="3078" width="9.5" style="33" bestFit="1" customWidth="1"/>
    <col min="3079" max="3079" width="8.875" style="33" customWidth="1"/>
    <col min="3080" max="3080" width="9" style="33"/>
    <col min="3081" max="3081" width="5.875" style="33" customWidth="1"/>
    <col min="3082" max="3082" width="18.25" style="33" bestFit="1" customWidth="1"/>
    <col min="3083" max="3083" width="28.625" style="33" bestFit="1" customWidth="1"/>
    <col min="3084" max="3328" width="9" style="33"/>
    <col min="3329" max="3329" width="46.875" style="33" customWidth="1"/>
    <col min="3330" max="3330" width="13.125" style="33" bestFit="1" customWidth="1"/>
    <col min="3331" max="3331" width="8.625" style="33" bestFit="1" customWidth="1"/>
    <col min="3332" max="3332" width="9" style="33" bestFit="1" customWidth="1"/>
    <col min="3333" max="3333" width="9" style="33"/>
    <col min="3334" max="3334" width="9.5" style="33" bestFit="1" customWidth="1"/>
    <col min="3335" max="3335" width="8.875" style="33" customWidth="1"/>
    <col min="3336" max="3336" width="9" style="33"/>
    <col min="3337" max="3337" width="5.875" style="33" customWidth="1"/>
    <col min="3338" max="3338" width="18.25" style="33" bestFit="1" customWidth="1"/>
    <col min="3339" max="3339" width="28.625" style="33" bestFit="1" customWidth="1"/>
    <col min="3340" max="3584" width="9" style="33"/>
    <col min="3585" max="3585" width="46.875" style="33" customWidth="1"/>
    <col min="3586" max="3586" width="13.125" style="33" bestFit="1" customWidth="1"/>
    <col min="3587" max="3587" width="8.625" style="33" bestFit="1" customWidth="1"/>
    <col min="3588" max="3588" width="9" style="33" bestFit="1" customWidth="1"/>
    <col min="3589" max="3589" width="9" style="33"/>
    <col min="3590" max="3590" width="9.5" style="33" bestFit="1" customWidth="1"/>
    <col min="3591" max="3591" width="8.875" style="33" customWidth="1"/>
    <col min="3592" max="3592" width="9" style="33"/>
    <col min="3593" max="3593" width="5.875" style="33" customWidth="1"/>
    <col min="3594" max="3594" width="18.25" style="33" bestFit="1" customWidth="1"/>
    <col min="3595" max="3595" width="28.625" style="33" bestFit="1" customWidth="1"/>
    <col min="3596" max="3840" width="9" style="33"/>
    <col min="3841" max="3841" width="46.875" style="33" customWidth="1"/>
    <col min="3842" max="3842" width="13.125" style="33" bestFit="1" customWidth="1"/>
    <col min="3843" max="3843" width="8.625" style="33" bestFit="1" customWidth="1"/>
    <col min="3844" max="3844" width="9" style="33" bestFit="1" customWidth="1"/>
    <col min="3845" max="3845" width="9" style="33"/>
    <col min="3846" max="3846" width="9.5" style="33" bestFit="1" customWidth="1"/>
    <col min="3847" max="3847" width="8.875" style="33" customWidth="1"/>
    <col min="3848" max="3848" width="9" style="33"/>
    <col min="3849" max="3849" width="5.875" style="33" customWidth="1"/>
    <col min="3850" max="3850" width="18.25" style="33" bestFit="1" customWidth="1"/>
    <col min="3851" max="3851" width="28.625" style="33" bestFit="1" customWidth="1"/>
    <col min="3852" max="4096" width="9" style="33"/>
    <col min="4097" max="4097" width="46.875" style="33" customWidth="1"/>
    <col min="4098" max="4098" width="13.125" style="33" bestFit="1" customWidth="1"/>
    <col min="4099" max="4099" width="8.625" style="33" bestFit="1" customWidth="1"/>
    <col min="4100" max="4100" width="9" style="33" bestFit="1" customWidth="1"/>
    <col min="4101" max="4101" width="9" style="33"/>
    <col min="4102" max="4102" width="9.5" style="33" bestFit="1" customWidth="1"/>
    <col min="4103" max="4103" width="8.875" style="33" customWidth="1"/>
    <col min="4104" max="4104" width="9" style="33"/>
    <col min="4105" max="4105" width="5.875" style="33" customWidth="1"/>
    <col min="4106" max="4106" width="18.25" style="33" bestFit="1" customWidth="1"/>
    <col min="4107" max="4107" width="28.625" style="33" bestFit="1" customWidth="1"/>
    <col min="4108" max="4352" width="9" style="33"/>
    <col min="4353" max="4353" width="46.875" style="33" customWidth="1"/>
    <col min="4354" max="4354" width="13.125" style="33" bestFit="1" customWidth="1"/>
    <col min="4355" max="4355" width="8.625" style="33" bestFit="1" customWidth="1"/>
    <col min="4356" max="4356" width="9" style="33" bestFit="1" customWidth="1"/>
    <col min="4357" max="4357" width="9" style="33"/>
    <col min="4358" max="4358" width="9.5" style="33" bestFit="1" customWidth="1"/>
    <col min="4359" max="4359" width="8.875" style="33" customWidth="1"/>
    <col min="4360" max="4360" width="9" style="33"/>
    <col min="4361" max="4361" width="5.875" style="33" customWidth="1"/>
    <col min="4362" max="4362" width="18.25" style="33" bestFit="1" customWidth="1"/>
    <col min="4363" max="4363" width="28.625" style="33" bestFit="1" customWidth="1"/>
    <col min="4364" max="4608" width="9" style="33"/>
    <col min="4609" max="4609" width="46.875" style="33" customWidth="1"/>
    <col min="4610" max="4610" width="13.125" style="33" bestFit="1" customWidth="1"/>
    <col min="4611" max="4611" width="8.625" style="33" bestFit="1" customWidth="1"/>
    <col min="4612" max="4612" width="9" style="33" bestFit="1" customWidth="1"/>
    <col min="4613" max="4613" width="9" style="33"/>
    <col min="4614" max="4614" width="9.5" style="33" bestFit="1" customWidth="1"/>
    <col min="4615" max="4615" width="8.875" style="33" customWidth="1"/>
    <col min="4616" max="4616" width="9" style="33"/>
    <col min="4617" max="4617" width="5.875" style="33" customWidth="1"/>
    <col min="4618" max="4618" width="18.25" style="33" bestFit="1" customWidth="1"/>
    <col min="4619" max="4619" width="28.625" style="33" bestFit="1" customWidth="1"/>
    <col min="4620" max="4864" width="9" style="33"/>
    <col min="4865" max="4865" width="46.875" style="33" customWidth="1"/>
    <col min="4866" max="4866" width="13.125" style="33" bestFit="1" customWidth="1"/>
    <col min="4867" max="4867" width="8.625" style="33" bestFit="1" customWidth="1"/>
    <col min="4868" max="4868" width="9" style="33" bestFit="1" customWidth="1"/>
    <col min="4869" max="4869" width="9" style="33"/>
    <col min="4870" max="4870" width="9.5" style="33" bestFit="1" customWidth="1"/>
    <col min="4871" max="4871" width="8.875" style="33" customWidth="1"/>
    <col min="4872" max="4872" width="9" style="33"/>
    <col min="4873" max="4873" width="5.875" style="33" customWidth="1"/>
    <col min="4874" max="4874" width="18.25" style="33" bestFit="1" customWidth="1"/>
    <col min="4875" max="4875" width="28.625" style="33" bestFit="1" customWidth="1"/>
    <col min="4876" max="5120" width="9" style="33"/>
    <col min="5121" max="5121" width="46.875" style="33" customWidth="1"/>
    <col min="5122" max="5122" width="13.125" style="33" bestFit="1" customWidth="1"/>
    <col min="5123" max="5123" width="8.625" style="33" bestFit="1" customWidth="1"/>
    <col min="5124" max="5124" width="9" style="33" bestFit="1" customWidth="1"/>
    <col min="5125" max="5125" width="9" style="33"/>
    <col min="5126" max="5126" width="9.5" style="33" bestFit="1" customWidth="1"/>
    <col min="5127" max="5127" width="8.875" style="33" customWidth="1"/>
    <col min="5128" max="5128" width="9" style="33"/>
    <col min="5129" max="5129" width="5.875" style="33" customWidth="1"/>
    <col min="5130" max="5130" width="18.25" style="33" bestFit="1" customWidth="1"/>
    <col min="5131" max="5131" width="28.625" style="33" bestFit="1" customWidth="1"/>
    <col min="5132" max="5376" width="9" style="33"/>
    <col min="5377" max="5377" width="46.875" style="33" customWidth="1"/>
    <col min="5378" max="5378" width="13.125" style="33" bestFit="1" customWidth="1"/>
    <col min="5379" max="5379" width="8.625" style="33" bestFit="1" customWidth="1"/>
    <col min="5380" max="5380" width="9" style="33" bestFit="1" customWidth="1"/>
    <col min="5381" max="5381" width="9" style="33"/>
    <col min="5382" max="5382" width="9.5" style="33" bestFit="1" customWidth="1"/>
    <col min="5383" max="5383" width="8.875" style="33" customWidth="1"/>
    <col min="5384" max="5384" width="9" style="33"/>
    <col min="5385" max="5385" width="5.875" style="33" customWidth="1"/>
    <col min="5386" max="5386" width="18.25" style="33" bestFit="1" customWidth="1"/>
    <col min="5387" max="5387" width="28.625" style="33" bestFit="1" customWidth="1"/>
    <col min="5388" max="5632" width="9" style="33"/>
    <col min="5633" max="5633" width="46.875" style="33" customWidth="1"/>
    <col min="5634" max="5634" width="13.125" style="33" bestFit="1" customWidth="1"/>
    <col min="5635" max="5635" width="8.625" style="33" bestFit="1" customWidth="1"/>
    <col min="5636" max="5636" width="9" style="33" bestFit="1" customWidth="1"/>
    <col min="5637" max="5637" width="9" style="33"/>
    <col min="5638" max="5638" width="9.5" style="33" bestFit="1" customWidth="1"/>
    <col min="5639" max="5639" width="8.875" style="33" customWidth="1"/>
    <col min="5640" max="5640" width="9" style="33"/>
    <col min="5641" max="5641" width="5.875" style="33" customWidth="1"/>
    <col min="5642" max="5642" width="18.25" style="33" bestFit="1" customWidth="1"/>
    <col min="5643" max="5643" width="28.625" style="33" bestFit="1" customWidth="1"/>
    <col min="5644" max="5888" width="9" style="33"/>
    <col min="5889" max="5889" width="46.875" style="33" customWidth="1"/>
    <col min="5890" max="5890" width="13.125" style="33" bestFit="1" customWidth="1"/>
    <col min="5891" max="5891" width="8.625" style="33" bestFit="1" customWidth="1"/>
    <col min="5892" max="5892" width="9" style="33" bestFit="1" customWidth="1"/>
    <col min="5893" max="5893" width="9" style="33"/>
    <col min="5894" max="5894" width="9.5" style="33" bestFit="1" customWidth="1"/>
    <col min="5895" max="5895" width="8.875" style="33" customWidth="1"/>
    <col min="5896" max="5896" width="9" style="33"/>
    <col min="5897" max="5897" width="5.875" style="33" customWidth="1"/>
    <col min="5898" max="5898" width="18.25" style="33" bestFit="1" customWidth="1"/>
    <col min="5899" max="5899" width="28.625" style="33" bestFit="1" customWidth="1"/>
    <col min="5900" max="6144" width="9" style="33"/>
    <col min="6145" max="6145" width="46.875" style="33" customWidth="1"/>
    <col min="6146" max="6146" width="13.125" style="33" bestFit="1" customWidth="1"/>
    <col min="6147" max="6147" width="8.625" style="33" bestFit="1" customWidth="1"/>
    <col min="6148" max="6148" width="9" style="33" bestFit="1" customWidth="1"/>
    <col min="6149" max="6149" width="9" style="33"/>
    <col min="6150" max="6150" width="9.5" style="33" bestFit="1" customWidth="1"/>
    <col min="6151" max="6151" width="8.875" style="33" customWidth="1"/>
    <col min="6152" max="6152" width="9" style="33"/>
    <col min="6153" max="6153" width="5.875" style="33" customWidth="1"/>
    <col min="6154" max="6154" width="18.25" style="33" bestFit="1" customWidth="1"/>
    <col min="6155" max="6155" width="28.625" style="33" bestFit="1" customWidth="1"/>
    <col min="6156" max="6400" width="9" style="33"/>
    <col min="6401" max="6401" width="46.875" style="33" customWidth="1"/>
    <col min="6402" max="6402" width="13.125" style="33" bestFit="1" customWidth="1"/>
    <col min="6403" max="6403" width="8.625" style="33" bestFit="1" customWidth="1"/>
    <col min="6404" max="6404" width="9" style="33" bestFit="1" customWidth="1"/>
    <col min="6405" max="6405" width="9" style="33"/>
    <col min="6406" max="6406" width="9.5" style="33" bestFit="1" customWidth="1"/>
    <col min="6407" max="6407" width="8.875" style="33" customWidth="1"/>
    <col min="6408" max="6408" width="9" style="33"/>
    <col min="6409" max="6409" width="5.875" style="33" customWidth="1"/>
    <col min="6410" max="6410" width="18.25" style="33" bestFit="1" customWidth="1"/>
    <col min="6411" max="6411" width="28.625" style="33" bestFit="1" customWidth="1"/>
    <col min="6412" max="6656" width="9" style="33"/>
    <col min="6657" max="6657" width="46.875" style="33" customWidth="1"/>
    <col min="6658" max="6658" width="13.125" style="33" bestFit="1" customWidth="1"/>
    <col min="6659" max="6659" width="8.625" style="33" bestFit="1" customWidth="1"/>
    <col min="6660" max="6660" width="9" style="33" bestFit="1" customWidth="1"/>
    <col min="6661" max="6661" width="9" style="33"/>
    <col min="6662" max="6662" width="9.5" style="33" bestFit="1" customWidth="1"/>
    <col min="6663" max="6663" width="8.875" style="33" customWidth="1"/>
    <col min="6664" max="6664" width="9" style="33"/>
    <col min="6665" max="6665" width="5.875" style="33" customWidth="1"/>
    <col min="6666" max="6666" width="18.25" style="33" bestFit="1" customWidth="1"/>
    <col min="6667" max="6667" width="28.625" style="33" bestFit="1" customWidth="1"/>
    <col min="6668" max="6912" width="9" style="33"/>
    <col min="6913" max="6913" width="46.875" style="33" customWidth="1"/>
    <col min="6914" max="6914" width="13.125" style="33" bestFit="1" customWidth="1"/>
    <col min="6915" max="6915" width="8.625" style="33" bestFit="1" customWidth="1"/>
    <col min="6916" max="6916" width="9" style="33" bestFit="1" customWidth="1"/>
    <col min="6917" max="6917" width="9" style="33"/>
    <col min="6918" max="6918" width="9.5" style="33" bestFit="1" customWidth="1"/>
    <col min="6919" max="6919" width="8.875" style="33" customWidth="1"/>
    <col min="6920" max="6920" width="9" style="33"/>
    <col min="6921" max="6921" width="5.875" style="33" customWidth="1"/>
    <col min="6922" max="6922" width="18.25" style="33" bestFit="1" customWidth="1"/>
    <col min="6923" max="6923" width="28.625" style="33" bestFit="1" customWidth="1"/>
    <col min="6924" max="7168" width="9" style="33"/>
    <col min="7169" max="7169" width="46.875" style="33" customWidth="1"/>
    <col min="7170" max="7170" width="13.125" style="33" bestFit="1" customWidth="1"/>
    <col min="7171" max="7171" width="8.625" style="33" bestFit="1" customWidth="1"/>
    <col min="7172" max="7172" width="9" style="33" bestFit="1" customWidth="1"/>
    <col min="7173" max="7173" width="9" style="33"/>
    <col min="7174" max="7174" width="9.5" style="33" bestFit="1" customWidth="1"/>
    <col min="7175" max="7175" width="8.875" style="33" customWidth="1"/>
    <col min="7176" max="7176" width="9" style="33"/>
    <col min="7177" max="7177" width="5.875" style="33" customWidth="1"/>
    <col min="7178" max="7178" width="18.25" style="33" bestFit="1" customWidth="1"/>
    <col min="7179" max="7179" width="28.625" style="33" bestFit="1" customWidth="1"/>
    <col min="7180" max="7424" width="9" style="33"/>
    <col min="7425" max="7425" width="46.875" style="33" customWidth="1"/>
    <col min="7426" max="7426" width="13.125" style="33" bestFit="1" customWidth="1"/>
    <col min="7427" max="7427" width="8.625" style="33" bestFit="1" customWidth="1"/>
    <col min="7428" max="7428" width="9" style="33" bestFit="1" customWidth="1"/>
    <col min="7429" max="7429" width="9" style="33"/>
    <col min="7430" max="7430" width="9.5" style="33" bestFit="1" customWidth="1"/>
    <col min="7431" max="7431" width="8.875" style="33" customWidth="1"/>
    <col min="7432" max="7432" width="9" style="33"/>
    <col min="7433" max="7433" width="5.875" style="33" customWidth="1"/>
    <col min="7434" max="7434" width="18.25" style="33" bestFit="1" customWidth="1"/>
    <col min="7435" max="7435" width="28.625" style="33" bestFit="1" customWidth="1"/>
    <col min="7436" max="7680" width="9" style="33"/>
    <col min="7681" max="7681" width="46.875" style="33" customWidth="1"/>
    <col min="7682" max="7682" width="13.125" style="33" bestFit="1" customWidth="1"/>
    <col min="7683" max="7683" width="8.625" style="33" bestFit="1" customWidth="1"/>
    <col min="7684" max="7684" width="9" style="33" bestFit="1" customWidth="1"/>
    <col min="7685" max="7685" width="9" style="33"/>
    <col min="7686" max="7686" width="9.5" style="33" bestFit="1" customWidth="1"/>
    <col min="7687" max="7687" width="8.875" style="33" customWidth="1"/>
    <col min="7688" max="7688" width="9" style="33"/>
    <col min="7689" max="7689" width="5.875" style="33" customWidth="1"/>
    <col min="7690" max="7690" width="18.25" style="33" bestFit="1" customWidth="1"/>
    <col min="7691" max="7691" width="28.625" style="33" bestFit="1" customWidth="1"/>
    <col min="7692" max="7936" width="9" style="33"/>
    <col min="7937" max="7937" width="46.875" style="33" customWidth="1"/>
    <col min="7938" max="7938" width="13.125" style="33" bestFit="1" customWidth="1"/>
    <col min="7939" max="7939" width="8.625" style="33" bestFit="1" customWidth="1"/>
    <col min="7940" max="7940" width="9" style="33" bestFit="1" customWidth="1"/>
    <col min="7941" max="7941" width="9" style="33"/>
    <col min="7942" max="7942" width="9.5" style="33" bestFit="1" customWidth="1"/>
    <col min="7943" max="7943" width="8.875" style="33" customWidth="1"/>
    <col min="7944" max="7944" width="9" style="33"/>
    <col min="7945" max="7945" width="5.875" style="33" customWidth="1"/>
    <col min="7946" max="7946" width="18.25" style="33" bestFit="1" customWidth="1"/>
    <col min="7947" max="7947" width="28.625" style="33" bestFit="1" customWidth="1"/>
    <col min="7948" max="8192" width="9" style="33"/>
    <col min="8193" max="8193" width="46.875" style="33" customWidth="1"/>
    <col min="8194" max="8194" width="13.125" style="33" bestFit="1" customWidth="1"/>
    <col min="8195" max="8195" width="8.625" style="33" bestFit="1" customWidth="1"/>
    <col min="8196" max="8196" width="9" style="33" bestFit="1" customWidth="1"/>
    <col min="8197" max="8197" width="9" style="33"/>
    <col min="8198" max="8198" width="9.5" style="33" bestFit="1" customWidth="1"/>
    <col min="8199" max="8199" width="8.875" style="33" customWidth="1"/>
    <col min="8200" max="8200" width="9" style="33"/>
    <col min="8201" max="8201" width="5.875" style="33" customWidth="1"/>
    <col min="8202" max="8202" width="18.25" style="33" bestFit="1" customWidth="1"/>
    <col min="8203" max="8203" width="28.625" style="33" bestFit="1" customWidth="1"/>
    <col min="8204" max="8448" width="9" style="33"/>
    <col min="8449" max="8449" width="46.875" style="33" customWidth="1"/>
    <col min="8450" max="8450" width="13.125" style="33" bestFit="1" customWidth="1"/>
    <col min="8451" max="8451" width="8.625" style="33" bestFit="1" customWidth="1"/>
    <col min="8452" max="8452" width="9" style="33" bestFit="1" customWidth="1"/>
    <col min="8453" max="8453" width="9" style="33"/>
    <col min="8454" max="8454" width="9.5" style="33" bestFit="1" customWidth="1"/>
    <col min="8455" max="8455" width="8.875" style="33" customWidth="1"/>
    <col min="8456" max="8456" width="9" style="33"/>
    <col min="8457" max="8457" width="5.875" style="33" customWidth="1"/>
    <col min="8458" max="8458" width="18.25" style="33" bestFit="1" customWidth="1"/>
    <col min="8459" max="8459" width="28.625" style="33" bestFit="1" customWidth="1"/>
    <col min="8460" max="8704" width="9" style="33"/>
    <col min="8705" max="8705" width="46.875" style="33" customWidth="1"/>
    <col min="8706" max="8706" width="13.125" style="33" bestFit="1" customWidth="1"/>
    <col min="8707" max="8707" width="8.625" style="33" bestFit="1" customWidth="1"/>
    <col min="8708" max="8708" width="9" style="33" bestFit="1" customWidth="1"/>
    <col min="8709" max="8709" width="9" style="33"/>
    <col min="8710" max="8710" width="9.5" style="33" bestFit="1" customWidth="1"/>
    <col min="8711" max="8711" width="8.875" style="33" customWidth="1"/>
    <col min="8712" max="8712" width="9" style="33"/>
    <col min="8713" max="8713" width="5.875" style="33" customWidth="1"/>
    <col min="8714" max="8714" width="18.25" style="33" bestFit="1" customWidth="1"/>
    <col min="8715" max="8715" width="28.625" style="33" bestFit="1" customWidth="1"/>
    <col min="8716" max="8960" width="9" style="33"/>
    <col min="8961" max="8961" width="46.875" style="33" customWidth="1"/>
    <col min="8962" max="8962" width="13.125" style="33" bestFit="1" customWidth="1"/>
    <col min="8963" max="8963" width="8.625" style="33" bestFit="1" customWidth="1"/>
    <col min="8964" max="8964" width="9" style="33" bestFit="1" customWidth="1"/>
    <col min="8965" max="8965" width="9" style="33"/>
    <col min="8966" max="8966" width="9.5" style="33" bestFit="1" customWidth="1"/>
    <col min="8967" max="8967" width="8.875" style="33" customWidth="1"/>
    <col min="8968" max="8968" width="9" style="33"/>
    <col min="8969" max="8969" width="5.875" style="33" customWidth="1"/>
    <col min="8970" max="8970" width="18.25" style="33" bestFit="1" customWidth="1"/>
    <col min="8971" max="8971" width="28.625" style="33" bestFit="1" customWidth="1"/>
    <col min="8972" max="9216" width="9" style="33"/>
    <col min="9217" max="9217" width="46.875" style="33" customWidth="1"/>
    <col min="9218" max="9218" width="13.125" style="33" bestFit="1" customWidth="1"/>
    <col min="9219" max="9219" width="8.625" style="33" bestFit="1" customWidth="1"/>
    <col min="9220" max="9220" width="9" style="33" bestFit="1" customWidth="1"/>
    <col min="9221" max="9221" width="9" style="33"/>
    <col min="9222" max="9222" width="9.5" style="33" bestFit="1" customWidth="1"/>
    <col min="9223" max="9223" width="8.875" style="33" customWidth="1"/>
    <col min="9224" max="9224" width="9" style="33"/>
    <col min="9225" max="9225" width="5.875" style="33" customWidth="1"/>
    <col min="9226" max="9226" width="18.25" style="33" bestFit="1" customWidth="1"/>
    <col min="9227" max="9227" width="28.625" style="33" bestFit="1" customWidth="1"/>
    <col min="9228" max="9472" width="9" style="33"/>
    <col min="9473" max="9473" width="46.875" style="33" customWidth="1"/>
    <col min="9474" max="9474" width="13.125" style="33" bestFit="1" customWidth="1"/>
    <col min="9475" max="9475" width="8.625" style="33" bestFit="1" customWidth="1"/>
    <col min="9476" max="9476" width="9" style="33" bestFit="1" customWidth="1"/>
    <col min="9477" max="9477" width="9" style="33"/>
    <col min="9478" max="9478" width="9.5" style="33" bestFit="1" customWidth="1"/>
    <col min="9479" max="9479" width="8.875" style="33" customWidth="1"/>
    <col min="9480" max="9480" width="9" style="33"/>
    <col min="9481" max="9481" width="5.875" style="33" customWidth="1"/>
    <col min="9482" max="9482" width="18.25" style="33" bestFit="1" customWidth="1"/>
    <col min="9483" max="9483" width="28.625" style="33" bestFit="1" customWidth="1"/>
    <col min="9484" max="9728" width="9" style="33"/>
    <col min="9729" max="9729" width="46.875" style="33" customWidth="1"/>
    <col min="9730" max="9730" width="13.125" style="33" bestFit="1" customWidth="1"/>
    <col min="9731" max="9731" width="8.625" style="33" bestFit="1" customWidth="1"/>
    <col min="9732" max="9732" width="9" style="33" bestFit="1" customWidth="1"/>
    <col min="9733" max="9733" width="9" style="33"/>
    <col min="9734" max="9734" width="9.5" style="33" bestFit="1" customWidth="1"/>
    <col min="9735" max="9735" width="8.875" style="33" customWidth="1"/>
    <col min="9736" max="9736" width="9" style="33"/>
    <col min="9737" max="9737" width="5.875" style="33" customWidth="1"/>
    <col min="9738" max="9738" width="18.25" style="33" bestFit="1" customWidth="1"/>
    <col min="9739" max="9739" width="28.625" style="33" bestFit="1" customWidth="1"/>
    <col min="9740" max="9984" width="9" style="33"/>
    <col min="9985" max="9985" width="46.875" style="33" customWidth="1"/>
    <col min="9986" max="9986" width="13.125" style="33" bestFit="1" customWidth="1"/>
    <col min="9987" max="9987" width="8.625" style="33" bestFit="1" customWidth="1"/>
    <col min="9988" max="9988" width="9" style="33" bestFit="1" customWidth="1"/>
    <col min="9989" max="9989" width="9" style="33"/>
    <col min="9990" max="9990" width="9.5" style="33" bestFit="1" customWidth="1"/>
    <col min="9991" max="9991" width="8.875" style="33" customWidth="1"/>
    <col min="9992" max="9992" width="9" style="33"/>
    <col min="9993" max="9993" width="5.875" style="33" customWidth="1"/>
    <col min="9994" max="9994" width="18.25" style="33" bestFit="1" customWidth="1"/>
    <col min="9995" max="9995" width="28.625" style="33" bestFit="1" customWidth="1"/>
    <col min="9996" max="10240" width="9" style="33"/>
    <col min="10241" max="10241" width="46.875" style="33" customWidth="1"/>
    <col min="10242" max="10242" width="13.125" style="33" bestFit="1" customWidth="1"/>
    <col min="10243" max="10243" width="8.625" style="33" bestFit="1" customWidth="1"/>
    <col min="10244" max="10244" width="9" style="33" bestFit="1" customWidth="1"/>
    <col min="10245" max="10245" width="9" style="33"/>
    <col min="10246" max="10246" width="9.5" style="33" bestFit="1" customWidth="1"/>
    <col min="10247" max="10247" width="8.875" style="33" customWidth="1"/>
    <col min="10248" max="10248" width="9" style="33"/>
    <col min="10249" max="10249" width="5.875" style="33" customWidth="1"/>
    <col min="10250" max="10250" width="18.25" style="33" bestFit="1" customWidth="1"/>
    <col min="10251" max="10251" width="28.625" style="33" bestFit="1" customWidth="1"/>
    <col min="10252" max="10496" width="9" style="33"/>
    <col min="10497" max="10497" width="46.875" style="33" customWidth="1"/>
    <col min="10498" max="10498" width="13.125" style="33" bestFit="1" customWidth="1"/>
    <col min="10499" max="10499" width="8.625" style="33" bestFit="1" customWidth="1"/>
    <col min="10500" max="10500" width="9" style="33" bestFit="1" customWidth="1"/>
    <col min="10501" max="10501" width="9" style="33"/>
    <col min="10502" max="10502" width="9.5" style="33" bestFit="1" customWidth="1"/>
    <col min="10503" max="10503" width="8.875" style="33" customWidth="1"/>
    <col min="10504" max="10504" width="9" style="33"/>
    <col min="10505" max="10505" width="5.875" style="33" customWidth="1"/>
    <col min="10506" max="10506" width="18.25" style="33" bestFit="1" customWidth="1"/>
    <col min="10507" max="10507" width="28.625" style="33" bestFit="1" customWidth="1"/>
    <col min="10508" max="10752" width="9" style="33"/>
    <col min="10753" max="10753" width="46.875" style="33" customWidth="1"/>
    <col min="10754" max="10754" width="13.125" style="33" bestFit="1" customWidth="1"/>
    <col min="10755" max="10755" width="8.625" style="33" bestFit="1" customWidth="1"/>
    <col min="10756" max="10756" width="9" style="33" bestFit="1" customWidth="1"/>
    <col min="10757" max="10757" width="9" style="33"/>
    <col min="10758" max="10758" width="9.5" style="33" bestFit="1" customWidth="1"/>
    <col min="10759" max="10759" width="8.875" style="33" customWidth="1"/>
    <col min="10760" max="10760" width="9" style="33"/>
    <col min="10761" max="10761" width="5.875" style="33" customWidth="1"/>
    <col min="10762" max="10762" width="18.25" style="33" bestFit="1" customWidth="1"/>
    <col min="10763" max="10763" width="28.625" style="33" bestFit="1" customWidth="1"/>
    <col min="10764" max="11008" width="9" style="33"/>
    <col min="11009" max="11009" width="46.875" style="33" customWidth="1"/>
    <col min="11010" max="11010" width="13.125" style="33" bestFit="1" customWidth="1"/>
    <col min="11011" max="11011" width="8.625" style="33" bestFit="1" customWidth="1"/>
    <col min="11012" max="11012" width="9" style="33" bestFit="1" customWidth="1"/>
    <col min="11013" max="11013" width="9" style="33"/>
    <col min="11014" max="11014" width="9.5" style="33" bestFit="1" customWidth="1"/>
    <col min="11015" max="11015" width="8.875" style="33" customWidth="1"/>
    <col min="11016" max="11016" width="9" style="33"/>
    <col min="11017" max="11017" width="5.875" style="33" customWidth="1"/>
    <col min="11018" max="11018" width="18.25" style="33" bestFit="1" customWidth="1"/>
    <col min="11019" max="11019" width="28.625" style="33" bestFit="1" customWidth="1"/>
    <col min="11020" max="11264" width="9" style="33"/>
    <col min="11265" max="11265" width="46.875" style="33" customWidth="1"/>
    <col min="11266" max="11266" width="13.125" style="33" bestFit="1" customWidth="1"/>
    <col min="11267" max="11267" width="8.625" style="33" bestFit="1" customWidth="1"/>
    <col min="11268" max="11268" width="9" style="33" bestFit="1" customWidth="1"/>
    <col min="11269" max="11269" width="9" style="33"/>
    <col min="11270" max="11270" width="9.5" style="33" bestFit="1" customWidth="1"/>
    <col min="11271" max="11271" width="8.875" style="33" customWidth="1"/>
    <col min="11272" max="11272" width="9" style="33"/>
    <col min="11273" max="11273" width="5.875" style="33" customWidth="1"/>
    <col min="11274" max="11274" width="18.25" style="33" bestFit="1" customWidth="1"/>
    <col min="11275" max="11275" width="28.625" style="33" bestFit="1" customWidth="1"/>
    <col min="11276" max="11520" width="9" style="33"/>
    <col min="11521" max="11521" width="46.875" style="33" customWidth="1"/>
    <col min="11522" max="11522" width="13.125" style="33" bestFit="1" customWidth="1"/>
    <col min="11523" max="11523" width="8.625" style="33" bestFit="1" customWidth="1"/>
    <col min="11524" max="11524" width="9" style="33" bestFit="1" customWidth="1"/>
    <col min="11525" max="11525" width="9" style="33"/>
    <col min="11526" max="11526" width="9.5" style="33" bestFit="1" customWidth="1"/>
    <col min="11527" max="11527" width="8.875" style="33" customWidth="1"/>
    <col min="11528" max="11528" width="9" style="33"/>
    <col min="11529" max="11529" width="5.875" style="33" customWidth="1"/>
    <col min="11530" max="11530" width="18.25" style="33" bestFit="1" customWidth="1"/>
    <col min="11531" max="11531" width="28.625" style="33" bestFit="1" customWidth="1"/>
    <col min="11532" max="11776" width="9" style="33"/>
    <col min="11777" max="11777" width="46.875" style="33" customWidth="1"/>
    <col min="11778" max="11778" width="13.125" style="33" bestFit="1" customWidth="1"/>
    <col min="11779" max="11779" width="8.625" style="33" bestFit="1" customWidth="1"/>
    <col min="11780" max="11780" width="9" style="33" bestFit="1" customWidth="1"/>
    <col min="11781" max="11781" width="9" style="33"/>
    <col min="11782" max="11782" width="9.5" style="33" bestFit="1" customWidth="1"/>
    <col min="11783" max="11783" width="8.875" style="33" customWidth="1"/>
    <col min="11784" max="11784" width="9" style="33"/>
    <col min="11785" max="11785" width="5.875" style="33" customWidth="1"/>
    <col min="11786" max="11786" width="18.25" style="33" bestFit="1" customWidth="1"/>
    <col min="11787" max="11787" width="28.625" style="33" bestFit="1" customWidth="1"/>
    <col min="11788" max="12032" width="9" style="33"/>
    <col min="12033" max="12033" width="46.875" style="33" customWidth="1"/>
    <col min="12034" max="12034" width="13.125" style="33" bestFit="1" customWidth="1"/>
    <col min="12035" max="12035" width="8.625" style="33" bestFit="1" customWidth="1"/>
    <col min="12036" max="12036" width="9" style="33" bestFit="1" customWidth="1"/>
    <col min="12037" max="12037" width="9" style="33"/>
    <col min="12038" max="12038" width="9.5" style="33" bestFit="1" customWidth="1"/>
    <col min="12039" max="12039" width="8.875" style="33" customWidth="1"/>
    <col min="12040" max="12040" width="9" style="33"/>
    <col min="12041" max="12041" width="5.875" style="33" customWidth="1"/>
    <col min="12042" max="12042" width="18.25" style="33" bestFit="1" customWidth="1"/>
    <col min="12043" max="12043" width="28.625" style="33" bestFit="1" customWidth="1"/>
    <col min="12044" max="12288" width="9" style="33"/>
    <col min="12289" max="12289" width="46.875" style="33" customWidth="1"/>
    <col min="12290" max="12290" width="13.125" style="33" bestFit="1" customWidth="1"/>
    <col min="12291" max="12291" width="8.625" style="33" bestFit="1" customWidth="1"/>
    <col min="12292" max="12292" width="9" style="33" bestFit="1" customWidth="1"/>
    <col min="12293" max="12293" width="9" style="33"/>
    <col min="12294" max="12294" width="9.5" style="33" bestFit="1" customWidth="1"/>
    <col min="12295" max="12295" width="8.875" style="33" customWidth="1"/>
    <col min="12296" max="12296" width="9" style="33"/>
    <col min="12297" max="12297" width="5.875" style="33" customWidth="1"/>
    <col min="12298" max="12298" width="18.25" style="33" bestFit="1" customWidth="1"/>
    <col min="12299" max="12299" width="28.625" style="33" bestFit="1" customWidth="1"/>
    <col min="12300" max="12544" width="9" style="33"/>
    <col min="12545" max="12545" width="46.875" style="33" customWidth="1"/>
    <col min="12546" max="12546" width="13.125" style="33" bestFit="1" customWidth="1"/>
    <col min="12547" max="12547" width="8.625" style="33" bestFit="1" customWidth="1"/>
    <col min="12548" max="12548" width="9" style="33" bestFit="1" customWidth="1"/>
    <col min="12549" max="12549" width="9" style="33"/>
    <col min="12550" max="12550" width="9.5" style="33" bestFit="1" customWidth="1"/>
    <col min="12551" max="12551" width="8.875" style="33" customWidth="1"/>
    <col min="12552" max="12552" width="9" style="33"/>
    <col min="12553" max="12553" width="5.875" style="33" customWidth="1"/>
    <col min="12554" max="12554" width="18.25" style="33" bestFit="1" customWidth="1"/>
    <col min="12555" max="12555" width="28.625" style="33" bestFit="1" customWidth="1"/>
    <col min="12556" max="12800" width="9" style="33"/>
    <col min="12801" max="12801" width="46.875" style="33" customWidth="1"/>
    <col min="12802" max="12802" width="13.125" style="33" bestFit="1" customWidth="1"/>
    <col min="12803" max="12803" width="8.625" style="33" bestFit="1" customWidth="1"/>
    <col min="12804" max="12804" width="9" style="33" bestFit="1" customWidth="1"/>
    <col min="12805" max="12805" width="9" style="33"/>
    <col min="12806" max="12806" width="9.5" style="33" bestFit="1" customWidth="1"/>
    <col min="12807" max="12807" width="8.875" style="33" customWidth="1"/>
    <col min="12808" max="12808" width="9" style="33"/>
    <col min="12809" max="12809" width="5.875" style="33" customWidth="1"/>
    <col min="12810" max="12810" width="18.25" style="33" bestFit="1" customWidth="1"/>
    <col min="12811" max="12811" width="28.625" style="33" bestFit="1" customWidth="1"/>
    <col min="12812" max="13056" width="9" style="33"/>
    <col min="13057" max="13057" width="46.875" style="33" customWidth="1"/>
    <col min="13058" max="13058" width="13.125" style="33" bestFit="1" customWidth="1"/>
    <col min="13059" max="13059" width="8.625" style="33" bestFit="1" customWidth="1"/>
    <col min="13060" max="13060" width="9" style="33" bestFit="1" customWidth="1"/>
    <col min="13061" max="13061" width="9" style="33"/>
    <col min="13062" max="13062" width="9.5" style="33" bestFit="1" customWidth="1"/>
    <col min="13063" max="13063" width="8.875" style="33" customWidth="1"/>
    <col min="13064" max="13064" width="9" style="33"/>
    <col min="13065" max="13065" width="5.875" style="33" customWidth="1"/>
    <col min="13066" max="13066" width="18.25" style="33" bestFit="1" customWidth="1"/>
    <col min="13067" max="13067" width="28.625" style="33" bestFit="1" customWidth="1"/>
    <col min="13068" max="13312" width="9" style="33"/>
    <col min="13313" max="13313" width="46.875" style="33" customWidth="1"/>
    <col min="13314" max="13314" width="13.125" style="33" bestFit="1" customWidth="1"/>
    <col min="13315" max="13315" width="8.625" style="33" bestFit="1" customWidth="1"/>
    <col min="13316" max="13316" width="9" style="33" bestFit="1" customWidth="1"/>
    <col min="13317" max="13317" width="9" style="33"/>
    <col min="13318" max="13318" width="9.5" style="33" bestFit="1" customWidth="1"/>
    <col min="13319" max="13319" width="8.875" style="33" customWidth="1"/>
    <col min="13320" max="13320" width="9" style="33"/>
    <col min="13321" max="13321" width="5.875" style="33" customWidth="1"/>
    <col min="13322" max="13322" width="18.25" style="33" bestFit="1" customWidth="1"/>
    <col min="13323" max="13323" width="28.625" style="33" bestFit="1" customWidth="1"/>
    <col min="13324" max="13568" width="9" style="33"/>
    <col min="13569" max="13569" width="46.875" style="33" customWidth="1"/>
    <col min="13570" max="13570" width="13.125" style="33" bestFit="1" customWidth="1"/>
    <col min="13571" max="13571" width="8.625" style="33" bestFit="1" customWidth="1"/>
    <col min="13572" max="13572" width="9" style="33" bestFit="1" customWidth="1"/>
    <col min="13573" max="13573" width="9" style="33"/>
    <col min="13574" max="13574" width="9.5" style="33" bestFit="1" customWidth="1"/>
    <col min="13575" max="13575" width="8.875" style="33" customWidth="1"/>
    <col min="13576" max="13576" width="9" style="33"/>
    <col min="13577" max="13577" width="5.875" style="33" customWidth="1"/>
    <col min="13578" max="13578" width="18.25" style="33" bestFit="1" customWidth="1"/>
    <col min="13579" max="13579" width="28.625" style="33" bestFit="1" customWidth="1"/>
    <col min="13580" max="13824" width="9" style="33"/>
    <col min="13825" max="13825" width="46.875" style="33" customWidth="1"/>
    <col min="13826" max="13826" width="13.125" style="33" bestFit="1" customWidth="1"/>
    <col min="13827" max="13827" width="8.625" style="33" bestFit="1" customWidth="1"/>
    <col min="13828" max="13828" width="9" style="33" bestFit="1" customWidth="1"/>
    <col min="13829" max="13829" width="9" style="33"/>
    <col min="13830" max="13830" width="9.5" style="33" bestFit="1" customWidth="1"/>
    <col min="13831" max="13831" width="8.875" style="33" customWidth="1"/>
    <col min="13832" max="13832" width="9" style="33"/>
    <col min="13833" max="13833" width="5.875" style="33" customWidth="1"/>
    <col min="13834" max="13834" width="18.25" style="33" bestFit="1" customWidth="1"/>
    <col min="13835" max="13835" width="28.625" style="33" bestFit="1" customWidth="1"/>
    <col min="13836" max="14080" width="9" style="33"/>
    <col min="14081" max="14081" width="46.875" style="33" customWidth="1"/>
    <col min="14082" max="14082" width="13.125" style="33" bestFit="1" customWidth="1"/>
    <col min="14083" max="14083" width="8.625" style="33" bestFit="1" customWidth="1"/>
    <col min="14084" max="14084" width="9" style="33" bestFit="1" customWidth="1"/>
    <col min="14085" max="14085" width="9" style="33"/>
    <col min="14086" max="14086" width="9.5" style="33" bestFit="1" customWidth="1"/>
    <col min="14087" max="14087" width="8.875" style="33" customWidth="1"/>
    <col min="14088" max="14088" width="9" style="33"/>
    <col min="14089" max="14089" width="5.875" style="33" customWidth="1"/>
    <col min="14090" max="14090" width="18.25" style="33" bestFit="1" customWidth="1"/>
    <col min="14091" max="14091" width="28.625" style="33" bestFit="1" customWidth="1"/>
    <col min="14092" max="14336" width="9" style="33"/>
    <col min="14337" max="14337" width="46.875" style="33" customWidth="1"/>
    <col min="14338" max="14338" width="13.125" style="33" bestFit="1" customWidth="1"/>
    <col min="14339" max="14339" width="8.625" style="33" bestFit="1" customWidth="1"/>
    <col min="14340" max="14340" width="9" style="33" bestFit="1" customWidth="1"/>
    <col min="14341" max="14341" width="9" style="33"/>
    <col min="14342" max="14342" width="9.5" style="33" bestFit="1" customWidth="1"/>
    <col min="14343" max="14343" width="8.875" style="33" customWidth="1"/>
    <col min="14344" max="14344" width="9" style="33"/>
    <col min="14345" max="14345" width="5.875" style="33" customWidth="1"/>
    <col min="14346" max="14346" width="18.25" style="33" bestFit="1" customWidth="1"/>
    <col min="14347" max="14347" width="28.625" style="33" bestFit="1" customWidth="1"/>
    <col min="14348" max="14592" width="9" style="33"/>
    <col min="14593" max="14593" width="46.875" style="33" customWidth="1"/>
    <col min="14594" max="14594" width="13.125" style="33" bestFit="1" customWidth="1"/>
    <col min="14595" max="14595" width="8.625" style="33" bestFit="1" customWidth="1"/>
    <col min="14596" max="14596" width="9" style="33" bestFit="1" customWidth="1"/>
    <col min="14597" max="14597" width="9" style="33"/>
    <col min="14598" max="14598" width="9.5" style="33" bestFit="1" customWidth="1"/>
    <col min="14599" max="14599" width="8.875" style="33" customWidth="1"/>
    <col min="14600" max="14600" width="9" style="33"/>
    <col min="14601" max="14601" width="5.875" style="33" customWidth="1"/>
    <col min="14602" max="14602" width="18.25" style="33" bestFit="1" customWidth="1"/>
    <col min="14603" max="14603" width="28.625" style="33" bestFit="1" customWidth="1"/>
    <col min="14604" max="14848" width="9" style="33"/>
    <col min="14849" max="14849" width="46.875" style="33" customWidth="1"/>
    <col min="14850" max="14850" width="13.125" style="33" bestFit="1" customWidth="1"/>
    <col min="14851" max="14851" width="8.625" style="33" bestFit="1" customWidth="1"/>
    <col min="14852" max="14852" width="9" style="33" bestFit="1" customWidth="1"/>
    <col min="14853" max="14853" width="9" style="33"/>
    <col min="14854" max="14854" width="9.5" style="33" bestFit="1" customWidth="1"/>
    <col min="14855" max="14855" width="8.875" style="33" customWidth="1"/>
    <col min="14856" max="14856" width="9" style="33"/>
    <col min="14857" max="14857" width="5.875" style="33" customWidth="1"/>
    <col min="14858" max="14858" width="18.25" style="33" bestFit="1" customWidth="1"/>
    <col min="14859" max="14859" width="28.625" style="33" bestFit="1" customWidth="1"/>
    <col min="14860" max="15104" width="9" style="33"/>
    <col min="15105" max="15105" width="46.875" style="33" customWidth="1"/>
    <col min="15106" max="15106" width="13.125" style="33" bestFit="1" customWidth="1"/>
    <col min="15107" max="15107" width="8.625" style="33" bestFit="1" customWidth="1"/>
    <col min="15108" max="15108" width="9" style="33" bestFit="1" customWidth="1"/>
    <col min="15109" max="15109" width="9" style="33"/>
    <col min="15110" max="15110" width="9.5" style="33" bestFit="1" customWidth="1"/>
    <col min="15111" max="15111" width="8.875" style="33" customWidth="1"/>
    <col min="15112" max="15112" width="9" style="33"/>
    <col min="15113" max="15113" width="5.875" style="33" customWidth="1"/>
    <col min="15114" max="15114" width="18.25" style="33" bestFit="1" customWidth="1"/>
    <col min="15115" max="15115" width="28.625" style="33" bestFit="1" customWidth="1"/>
    <col min="15116" max="15360" width="9" style="33"/>
    <col min="15361" max="15361" width="46.875" style="33" customWidth="1"/>
    <col min="15362" max="15362" width="13.125" style="33" bestFit="1" customWidth="1"/>
    <col min="15363" max="15363" width="8.625" style="33" bestFit="1" customWidth="1"/>
    <col min="15364" max="15364" width="9" style="33" bestFit="1" customWidth="1"/>
    <col min="15365" max="15365" width="9" style="33"/>
    <col min="15366" max="15366" width="9.5" style="33" bestFit="1" customWidth="1"/>
    <col min="15367" max="15367" width="8.875" style="33" customWidth="1"/>
    <col min="15368" max="15368" width="9" style="33"/>
    <col min="15369" max="15369" width="5.875" style="33" customWidth="1"/>
    <col min="15370" max="15370" width="18.25" style="33" bestFit="1" customWidth="1"/>
    <col min="15371" max="15371" width="28.625" style="33" bestFit="1" customWidth="1"/>
    <col min="15372" max="15616" width="9" style="33"/>
    <col min="15617" max="15617" width="46.875" style="33" customWidth="1"/>
    <col min="15618" max="15618" width="13.125" style="33" bestFit="1" customWidth="1"/>
    <col min="15619" max="15619" width="8.625" style="33" bestFit="1" customWidth="1"/>
    <col min="15620" max="15620" width="9" style="33" bestFit="1" customWidth="1"/>
    <col min="15621" max="15621" width="9" style="33"/>
    <col min="15622" max="15622" width="9.5" style="33" bestFit="1" customWidth="1"/>
    <col min="15623" max="15623" width="8.875" style="33" customWidth="1"/>
    <col min="15624" max="15624" width="9" style="33"/>
    <col min="15625" max="15625" width="5.875" style="33" customWidth="1"/>
    <col min="15626" max="15626" width="18.25" style="33" bestFit="1" customWidth="1"/>
    <col min="15627" max="15627" width="28.625" style="33" bestFit="1" customWidth="1"/>
    <col min="15628" max="15872" width="9" style="33"/>
    <col min="15873" max="15873" width="46.875" style="33" customWidth="1"/>
    <col min="15874" max="15874" width="13.125" style="33" bestFit="1" customWidth="1"/>
    <col min="15875" max="15875" width="8.625" style="33" bestFit="1" customWidth="1"/>
    <col min="15876" max="15876" width="9" style="33" bestFit="1" customWidth="1"/>
    <col min="15877" max="15877" width="9" style="33"/>
    <col min="15878" max="15878" width="9.5" style="33" bestFit="1" customWidth="1"/>
    <col min="15879" max="15879" width="8.875" style="33" customWidth="1"/>
    <col min="15880" max="15880" width="9" style="33"/>
    <col min="15881" max="15881" width="5.875" style="33" customWidth="1"/>
    <col min="15882" max="15882" width="18.25" style="33" bestFit="1" customWidth="1"/>
    <col min="15883" max="15883" width="28.625" style="33" bestFit="1" customWidth="1"/>
    <col min="15884" max="16128" width="9" style="33"/>
    <col min="16129" max="16129" width="46.875" style="33" customWidth="1"/>
    <col min="16130" max="16130" width="13.125" style="33" bestFit="1" customWidth="1"/>
    <col min="16131" max="16131" width="8.625" style="33" bestFit="1" customWidth="1"/>
    <col min="16132" max="16132" width="9" style="33" bestFit="1" customWidth="1"/>
    <col min="16133" max="16133" width="9" style="33"/>
    <col min="16134" max="16134" width="9.5" style="33" bestFit="1" customWidth="1"/>
    <col min="16135" max="16135" width="8.875" style="33" customWidth="1"/>
    <col min="16136" max="16136" width="9" style="33"/>
    <col min="16137" max="16137" width="5.875" style="33" customWidth="1"/>
    <col min="16138" max="16138" width="18.25" style="33" bestFit="1" customWidth="1"/>
    <col min="16139" max="16139" width="28.625" style="33" bestFit="1" customWidth="1"/>
    <col min="16140" max="16384" width="9" style="33"/>
  </cols>
  <sheetData>
    <row r="1" spans="1:9" x14ac:dyDescent="0.2">
      <c r="A1" s="32" t="s">
        <v>148</v>
      </c>
    </row>
    <row r="2" spans="1:9" x14ac:dyDescent="0.2">
      <c r="A2" s="32" t="s">
        <v>149</v>
      </c>
    </row>
    <row r="3" spans="1:9" x14ac:dyDescent="0.2">
      <c r="A3" s="32"/>
    </row>
    <row r="4" spans="1:9" x14ac:dyDescent="0.2">
      <c r="A4" s="32" t="s">
        <v>150</v>
      </c>
    </row>
    <row r="6" spans="1:9" s="34" customFormat="1" x14ac:dyDescent="0.2">
      <c r="A6" s="34" t="s">
        <v>151</v>
      </c>
      <c r="B6" s="35">
        <v>1000000</v>
      </c>
    </row>
    <row r="7" spans="1:9" s="34" customFormat="1" x14ac:dyDescent="0.2">
      <c r="A7" s="36" t="s">
        <v>152</v>
      </c>
      <c r="B7" s="35"/>
    </row>
    <row r="8" spans="1:9" s="34" customFormat="1" x14ac:dyDescent="0.2">
      <c r="A8" s="37" t="s">
        <v>153</v>
      </c>
      <c r="B8" s="35">
        <f>+B112</f>
        <v>3216.3918330918364</v>
      </c>
      <c r="C8" s="34" t="s">
        <v>154</v>
      </c>
      <c r="G8" s="38"/>
      <c r="I8" s="39"/>
    </row>
    <row r="9" spans="1:9" s="34" customFormat="1" x14ac:dyDescent="0.2">
      <c r="A9" s="40" t="s">
        <v>155</v>
      </c>
      <c r="B9" s="35">
        <v>90000</v>
      </c>
      <c r="C9" s="34" t="s">
        <v>154</v>
      </c>
      <c r="G9" s="38"/>
    </row>
    <row r="10" spans="1:9" s="34" customFormat="1" x14ac:dyDescent="0.2">
      <c r="A10" s="40" t="s">
        <v>156</v>
      </c>
      <c r="B10" s="35">
        <f>120000/9</f>
        <v>13333.333333333334</v>
      </c>
      <c r="C10" s="34" t="s">
        <v>154</v>
      </c>
      <c r="G10" s="38" t="s">
        <v>157</v>
      </c>
    </row>
    <row r="11" spans="1:9" s="34" customFormat="1" x14ac:dyDescent="0.2">
      <c r="A11" s="40" t="s">
        <v>158</v>
      </c>
      <c r="B11" s="35">
        <f>100000*0.8-50000</f>
        <v>30000</v>
      </c>
      <c r="C11" s="34" t="s">
        <v>154</v>
      </c>
      <c r="G11" s="38" t="s">
        <v>159</v>
      </c>
    </row>
    <row r="12" spans="1:9" s="34" customFormat="1" x14ac:dyDescent="0.2">
      <c r="A12" s="40" t="s">
        <v>160</v>
      </c>
      <c r="B12" s="35">
        <v>1000</v>
      </c>
      <c r="G12" s="38"/>
    </row>
    <row r="13" spans="1:9" s="34" customFormat="1" x14ac:dyDescent="0.2">
      <c r="A13" s="41" t="s">
        <v>161</v>
      </c>
      <c r="B13" s="35">
        <v>10000</v>
      </c>
      <c r="G13" s="38"/>
    </row>
    <row r="14" spans="1:9" s="34" customFormat="1" x14ac:dyDescent="0.2">
      <c r="A14" s="41" t="s">
        <v>162</v>
      </c>
      <c r="B14" s="35">
        <v>10000</v>
      </c>
    </row>
    <row r="15" spans="1:9" s="34" customFormat="1" x14ac:dyDescent="0.2">
      <c r="A15" s="41"/>
      <c r="B15" s="42">
        <f>SUM(B8:B14)</f>
        <v>157549.72516642517</v>
      </c>
    </row>
    <row r="16" spans="1:9" s="34" customFormat="1" x14ac:dyDescent="0.2">
      <c r="A16" s="41"/>
    </row>
    <row r="17" spans="1:7" s="34" customFormat="1" x14ac:dyDescent="0.2">
      <c r="A17" s="36" t="s">
        <v>163</v>
      </c>
      <c r="B17" s="35"/>
    </row>
    <row r="18" spans="1:7" s="34" customFormat="1" x14ac:dyDescent="0.2">
      <c r="A18" s="43" t="s">
        <v>20</v>
      </c>
      <c r="B18" s="44">
        <v>3000</v>
      </c>
      <c r="C18" s="43" t="s">
        <v>154</v>
      </c>
      <c r="D18" s="43"/>
      <c r="E18" s="43"/>
      <c r="F18" s="43"/>
      <c r="G18" s="45" t="s">
        <v>164</v>
      </c>
    </row>
    <row r="19" spans="1:7" s="34" customFormat="1" x14ac:dyDescent="0.2">
      <c r="A19" s="40" t="s">
        <v>165</v>
      </c>
      <c r="B19" s="35">
        <f>+B80-B76</f>
        <v>39999.999999999985</v>
      </c>
      <c r="C19" s="40" t="s">
        <v>154</v>
      </c>
      <c r="D19" s="40" t="s">
        <v>166</v>
      </c>
      <c r="G19" s="38" t="s">
        <v>167</v>
      </c>
    </row>
    <row r="20" spans="1:7" s="34" customFormat="1" x14ac:dyDescent="0.2">
      <c r="A20" s="37" t="s">
        <v>168</v>
      </c>
      <c r="B20" s="35">
        <f>+B113</f>
        <v>1909.1901008324724</v>
      </c>
      <c r="C20" s="40" t="s">
        <v>154</v>
      </c>
      <c r="D20" s="40"/>
      <c r="G20" s="38"/>
    </row>
    <row r="21" spans="1:7" s="34" customFormat="1" x14ac:dyDescent="0.2">
      <c r="A21" s="40" t="s">
        <v>169</v>
      </c>
      <c r="B21" s="35">
        <f>90000/3</f>
        <v>30000</v>
      </c>
      <c r="C21" s="34" t="s">
        <v>154</v>
      </c>
      <c r="D21" s="40"/>
      <c r="G21" s="38" t="s">
        <v>170</v>
      </c>
    </row>
    <row r="22" spans="1:7" s="34" customFormat="1" x14ac:dyDescent="0.2">
      <c r="A22" s="40" t="s">
        <v>171</v>
      </c>
      <c r="B22" s="35">
        <v>10000</v>
      </c>
      <c r="C22" s="34" t="s">
        <v>154</v>
      </c>
      <c r="G22" s="38" t="s">
        <v>172</v>
      </c>
    </row>
    <row r="23" spans="1:7" s="34" customFormat="1" x14ac:dyDescent="0.2">
      <c r="A23" s="46" t="s">
        <v>173</v>
      </c>
      <c r="B23" s="44">
        <f>110000-50000</f>
        <v>60000</v>
      </c>
      <c r="C23" s="43" t="s">
        <v>154</v>
      </c>
      <c r="D23" s="40" t="s">
        <v>166</v>
      </c>
      <c r="E23" s="43"/>
      <c r="F23" s="43"/>
      <c r="G23" s="47" t="s">
        <v>174</v>
      </c>
    </row>
    <row r="24" spans="1:7" s="34" customFormat="1" x14ac:dyDescent="0.2">
      <c r="A24" s="40"/>
      <c r="B24" s="35"/>
      <c r="G24" s="38"/>
    </row>
    <row r="25" spans="1:7" s="34" customFormat="1" x14ac:dyDescent="0.2">
      <c r="A25" s="40"/>
      <c r="B25" s="35"/>
      <c r="G25" s="38"/>
    </row>
    <row r="26" spans="1:7" s="34" customFormat="1" x14ac:dyDescent="0.2">
      <c r="A26" s="40"/>
      <c r="B26" s="35"/>
      <c r="G26" s="38"/>
    </row>
    <row r="27" spans="1:7" s="34" customFormat="1" x14ac:dyDescent="0.2">
      <c r="B27" s="42">
        <f>SUM(B18:B26)</f>
        <v>144909.19010083246</v>
      </c>
    </row>
    <row r="28" spans="1:7" s="34" customFormat="1" x14ac:dyDescent="0.2">
      <c r="B28" s="35"/>
    </row>
    <row r="29" spans="1:7" x14ac:dyDescent="0.2">
      <c r="A29" s="32" t="s">
        <v>175</v>
      </c>
      <c r="B29" s="48">
        <f>+B6+B15-B27</f>
        <v>1012640.5350655926</v>
      </c>
    </row>
    <row r="30" spans="1:7" x14ac:dyDescent="0.2">
      <c r="B30" s="49"/>
    </row>
    <row r="31" spans="1:7" x14ac:dyDescent="0.2">
      <c r="A31" s="32" t="s">
        <v>176</v>
      </c>
      <c r="B31" s="49"/>
    </row>
    <row r="32" spans="1:7" x14ac:dyDescent="0.2">
      <c r="A32" s="33" t="s">
        <v>177</v>
      </c>
      <c r="B32" s="49">
        <f>+B29*0.25</f>
        <v>253160.13376639815</v>
      </c>
    </row>
    <row r="33" spans="1:7" x14ac:dyDescent="0.2">
      <c r="A33" s="33" t="s">
        <v>178</v>
      </c>
      <c r="B33" s="49">
        <f>-10000*0.3</f>
        <v>-3000</v>
      </c>
      <c r="G33" s="50" t="s">
        <v>179</v>
      </c>
    </row>
    <row r="34" spans="1:7" x14ac:dyDescent="0.2">
      <c r="A34" s="33" t="s">
        <v>176</v>
      </c>
      <c r="B34" s="48">
        <f>B33+B32</f>
        <v>250160.13376639815</v>
      </c>
      <c r="E34" s="50"/>
    </row>
    <row r="37" spans="1:7" x14ac:dyDescent="0.2">
      <c r="A37" s="32"/>
      <c r="B37" s="48"/>
    </row>
    <row r="38" spans="1:7" x14ac:dyDescent="0.2">
      <c r="A38" s="36" t="s">
        <v>180</v>
      </c>
      <c r="B38" s="34"/>
      <c r="C38" s="34"/>
      <c r="D38" s="34"/>
      <c r="E38" s="34"/>
    </row>
    <row r="39" spans="1:7" x14ac:dyDescent="0.2">
      <c r="A39" s="34"/>
      <c r="B39" s="51" t="s">
        <v>181</v>
      </c>
      <c r="C39" s="52" t="s">
        <v>83</v>
      </c>
      <c r="D39" s="52" t="s">
        <v>182</v>
      </c>
      <c r="E39" s="51" t="s">
        <v>183</v>
      </c>
    </row>
    <row r="40" spans="1:7" x14ac:dyDescent="0.2">
      <c r="A40" s="53" t="s">
        <v>184</v>
      </c>
      <c r="B40" s="35">
        <f>+B70</f>
        <v>750</v>
      </c>
      <c r="C40" s="35">
        <f>+E40-B40</f>
        <v>-750</v>
      </c>
      <c r="D40" s="35"/>
      <c r="E40" s="35">
        <f>+B71</f>
        <v>0</v>
      </c>
    </row>
    <row r="41" spans="1:7" x14ac:dyDescent="0.2">
      <c r="A41" s="54" t="s">
        <v>185</v>
      </c>
      <c r="B41" s="35">
        <f>+B79</f>
        <v>-2000.000000000003</v>
      </c>
      <c r="C41" s="35">
        <f>+E41-B41</f>
        <v>-7999.9999999999973</v>
      </c>
      <c r="D41" s="35"/>
      <c r="E41" s="35">
        <f>+B83</f>
        <v>-10000</v>
      </c>
    </row>
    <row r="42" spans="1:7" x14ac:dyDescent="0.2">
      <c r="A42" s="55" t="s">
        <v>186</v>
      </c>
      <c r="B42" s="35">
        <f>+B110</f>
        <v>-861.8723761257279</v>
      </c>
      <c r="C42" s="35">
        <f>+E42-B42</f>
        <v>250.76116270370039</v>
      </c>
      <c r="D42" s="35"/>
      <c r="E42" s="35">
        <f>+B124</f>
        <v>-611.1112134220275</v>
      </c>
    </row>
    <row r="43" spans="1:7" x14ac:dyDescent="0.2">
      <c r="A43" s="47" t="s">
        <v>187</v>
      </c>
      <c r="B43" s="35">
        <v>0</v>
      </c>
      <c r="C43" s="35">
        <f>+E43-B43</f>
        <v>17100</v>
      </c>
      <c r="D43" s="35"/>
      <c r="E43" s="35">
        <f>+B128</f>
        <v>17100</v>
      </c>
    </row>
    <row r="44" spans="1:7" x14ac:dyDescent="0.2">
      <c r="A44" s="54" t="s">
        <v>188</v>
      </c>
      <c r="B44" s="35">
        <f>+B138</f>
        <v>-7500</v>
      </c>
      <c r="C44" s="35">
        <f>+B147</f>
        <v>9720.8333333333339</v>
      </c>
      <c r="D44" s="35">
        <f>+B143</f>
        <v>6666.666666666667</v>
      </c>
      <c r="E44" s="35">
        <f>+SUM(B44:D44)</f>
        <v>8887.5</v>
      </c>
    </row>
    <row r="45" spans="1:7" x14ac:dyDescent="0.2">
      <c r="A45" s="54" t="s">
        <v>189</v>
      </c>
      <c r="B45" s="35">
        <f>+B154</f>
        <v>10000</v>
      </c>
      <c r="C45" s="35">
        <f>+E45-B45</f>
        <v>-12000</v>
      </c>
      <c r="D45" s="35"/>
      <c r="E45" s="35">
        <f>+B155</f>
        <v>-2000</v>
      </c>
    </row>
    <row r="46" spans="1:7" x14ac:dyDescent="0.2">
      <c r="A46" s="36" t="s">
        <v>68</v>
      </c>
      <c r="B46" s="42">
        <f>+SUM(B40:B45)</f>
        <v>388.12762387426847</v>
      </c>
      <c r="C46" s="42">
        <f>+SUM(C40:C45)</f>
        <v>6321.5944960370398</v>
      </c>
      <c r="D46" s="42">
        <f>+SUM(D40:D45)</f>
        <v>6666.666666666667</v>
      </c>
      <c r="E46" s="42">
        <f>+SUM(E40:E45)</f>
        <v>13376.388786577972</v>
      </c>
      <c r="G46" s="42"/>
    </row>
    <row r="47" spans="1:7" x14ac:dyDescent="0.2">
      <c r="A47" s="34"/>
      <c r="B47" s="34"/>
      <c r="C47" s="34"/>
      <c r="D47" s="34"/>
      <c r="E47" s="34"/>
    </row>
    <row r="48" spans="1:7" x14ac:dyDescent="0.2">
      <c r="A48" s="32" t="s">
        <v>190</v>
      </c>
    </row>
    <row r="49" spans="1:10" x14ac:dyDescent="0.2">
      <c r="A49" s="32" t="s">
        <v>191</v>
      </c>
      <c r="D49" s="49">
        <f>+B34</f>
        <v>250160.13376639815</v>
      </c>
    </row>
    <row r="50" spans="1:10" x14ac:dyDescent="0.2">
      <c r="A50" s="32" t="s">
        <v>192</v>
      </c>
      <c r="D50" s="49"/>
    </row>
    <row r="51" spans="1:10" x14ac:dyDescent="0.2">
      <c r="A51" s="33" t="s">
        <v>193</v>
      </c>
      <c r="D51" s="35">
        <f>0.25*SUM(B18,B20,B21,B22)-0.25*SUM(B8:B11)+0.2*SUM(B19,B23)</f>
        <v>-2910.1337663981758</v>
      </c>
    </row>
    <row r="52" spans="1:10" x14ac:dyDescent="0.2">
      <c r="A52" s="33" t="s">
        <v>194</v>
      </c>
      <c r="D52" s="35">
        <f>+D53-D51</f>
        <v>-3411.460729638864</v>
      </c>
    </row>
    <row r="53" spans="1:10" x14ac:dyDescent="0.2">
      <c r="A53" s="32" t="s">
        <v>195</v>
      </c>
      <c r="B53" s="32"/>
      <c r="C53" s="32"/>
      <c r="D53" s="42">
        <f>-C46</f>
        <v>-6321.5944960370398</v>
      </c>
    </row>
    <row r="54" spans="1:10" x14ac:dyDescent="0.2">
      <c r="A54" s="32" t="s">
        <v>196</v>
      </c>
      <c r="D54" s="42">
        <f>+D49+D53</f>
        <v>243838.53927036113</v>
      </c>
    </row>
    <row r="55" spans="1:10" x14ac:dyDescent="0.2">
      <c r="A55" s="32"/>
      <c r="D55" s="48"/>
      <c r="J55" s="32"/>
    </row>
    <row r="56" spans="1:10" x14ac:dyDescent="0.2">
      <c r="A56" s="32" t="s">
        <v>197</v>
      </c>
    </row>
    <row r="57" spans="1:10" x14ac:dyDescent="0.2">
      <c r="A57" s="36" t="s">
        <v>198</v>
      </c>
      <c r="B57" s="42">
        <f>1000000*0.25</f>
        <v>250000</v>
      </c>
      <c r="C57" s="34"/>
      <c r="D57" s="34"/>
      <c r="E57" s="34"/>
      <c r="F57" s="34"/>
      <c r="G57" s="38" t="s">
        <v>199</v>
      </c>
    </row>
    <row r="58" spans="1:10" x14ac:dyDescent="0.2">
      <c r="A58" s="40" t="s">
        <v>160</v>
      </c>
      <c r="B58" s="56">
        <f>1000*0.25</f>
        <v>250</v>
      </c>
      <c r="C58" s="34"/>
      <c r="D58" s="34"/>
      <c r="E58" s="34"/>
      <c r="F58" s="34"/>
      <c r="G58" s="38" t="s">
        <v>200</v>
      </c>
    </row>
    <row r="59" spans="1:10" x14ac:dyDescent="0.2">
      <c r="A59" s="41" t="s">
        <v>161</v>
      </c>
      <c r="B59" s="35">
        <f>10000*0.25</f>
        <v>2500</v>
      </c>
      <c r="C59" s="34"/>
      <c r="D59" s="34"/>
      <c r="E59" s="34"/>
      <c r="F59" s="34"/>
      <c r="G59" s="38" t="s">
        <v>201</v>
      </c>
    </row>
    <row r="60" spans="1:10" x14ac:dyDescent="0.2">
      <c r="A60" s="41" t="s">
        <v>162</v>
      </c>
      <c r="B60" s="35">
        <f>+-10000*0.05</f>
        <v>-500</v>
      </c>
      <c r="C60" s="34"/>
      <c r="D60" s="34"/>
      <c r="E60" s="34"/>
      <c r="F60" s="34"/>
      <c r="G60" s="38" t="s">
        <v>202</v>
      </c>
    </row>
    <row r="61" spans="1:10" x14ac:dyDescent="0.2">
      <c r="A61" s="57" t="s">
        <v>203</v>
      </c>
      <c r="B61" s="58">
        <f>60000*-0.05</f>
        <v>-3000</v>
      </c>
      <c r="C61" s="59"/>
      <c r="D61" s="59"/>
      <c r="E61" s="59"/>
      <c r="F61" s="59"/>
      <c r="G61" s="60" t="s">
        <v>204</v>
      </c>
    </row>
    <row r="62" spans="1:10" x14ac:dyDescent="0.2">
      <c r="A62" s="40" t="s">
        <v>205</v>
      </c>
      <c r="B62" s="58">
        <f>40000*-0.05</f>
        <v>-2000</v>
      </c>
      <c r="C62" s="34"/>
      <c r="D62" s="34"/>
      <c r="E62" s="34"/>
      <c r="F62" s="34"/>
      <c r="G62" s="60" t="s">
        <v>206</v>
      </c>
    </row>
    <row r="63" spans="1:10" x14ac:dyDescent="0.2">
      <c r="A63" s="41" t="s">
        <v>194</v>
      </c>
      <c r="B63" s="35">
        <f>+D52</f>
        <v>-3411.460729638864</v>
      </c>
      <c r="C63" s="34"/>
      <c r="D63" s="34"/>
      <c r="E63" s="34"/>
      <c r="F63" s="34"/>
      <c r="G63" s="34"/>
    </row>
    <row r="64" spans="1:10" x14ac:dyDescent="0.2">
      <c r="A64" s="36" t="s">
        <v>207</v>
      </c>
      <c r="B64" s="42">
        <f>SUM(B57:B63)</f>
        <v>243838.53927036113</v>
      </c>
      <c r="C64" s="34"/>
      <c r="D64" s="34"/>
      <c r="E64" s="34"/>
      <c r="F64" s="34"/>
      <c r="G64" s="34"/>
    </row>
    <row r="65" spans="1:10" x14ac:dyDescent="0.2">
      <c r="A65" s="32"/>
      <c r="B65" s="49"/>
      <c r="C65" s="49"/>
    </row>
    <row r="66" spans="1:10" x14ac:dyDescent="0.2">
      <c r="A66" s="34"/>
      <c r="B66" s="34"/>
      <c r="C66" s="34"/>
      <c r="D66" s="34"/>
      <c r="E66" s="34"/>
      <c r="F66" s="34"/>
      <c r="G66" s="34"/>
    </row>
    <row r="67" spans="1:10" x14ac:dyDescent="0.2">
      <c r="A67" s="36" t="s">
        <v>208</v>
      </c>
      <c r="B67" s="34"/>
      <c r="C67" s="34"/>
      <c r="D67" s="34"/>
      <c r="E67" s="34"/>
      <c r="F67" s="34"/>
      <c r="G67" s="34"/>
    </row>
    <row r="68" spans="1:10" x14ac:dyDescent="0.2">
      <c r="A68" s="61" t="s">
        <v>209</v>
      </c>
      <c r="B68" s="34"/>
      <c r="C68" s="34"/>
      <c r="D68" s="34"/>
      <c r="E68" s="34"/>
      <c r="F68" s="34"/>
      <c r="G68" s="34"/>
    </row>
    <row r="69" spans="1:10" x14ac:dyDescent="0.2">
      <c r="A69" s="62" t="s">
        <v>210</v>
      </c>
      <c r="B69" s="34"/>
      <c r="C69" s="34"/>
      <c r="D69" s="34"/>
      <c r="E69" s="34"/>
      <c r="F69" s="34"/>
      <c r="G69" s="34"/>
    </row>
    <row r="70" spans="1:10" x14ac:dyDescent="0.2">
      <c r="A70" s="43" t="s">
        <v>211</v>
      </c>
      <c r="B70" s="35">
        <f>9000/3*0.25</f>
        <v>750</v>
      </c>
      <c r="C70" s="34"/>
      <c r="D70" s="34"/>
      <c r="E70" s="34"/>
      <c r="F70" s="34"/>
      <c r="G70" s="38" t="s">
        <v>212</v>
      </c>
    </row>
    <row r="71" spans="1:10" x14ac:dyDescent="0.2">
      <c r="A71" s="43" t="s">
        <v>213</v>
      </c>
      <c r="B71" s="35">
        <v>0</v>
      </c>
      <c r="C71" s="34"/>
      <c r="D71" s="34"/>
      <c r="E71" s="34"/>
      <c r="F71" s="34"/>
      <c r="G71" s="34"/>
    </row>
    <row r="72" spans="1:10" x14ac:dyDescent="0.2">
      <c r="A72" s="36"/>
      <c r="B72" s="35"/>
      <c r="C72" s="34"/>
      <c r="D72" s="34"/>
      <c r="E72" s="34"/>
      <c r="F72" s="34"/>
      <c r="G72" s="34"/>
    </row>
    <row r="73" spans="1:10" x14ac:dyDescent="0.2">
      <c r="A73" s="36"/>
      <c r="B73" s="34"/>
      <c r="C73" s="34"/>
      <c r="D73" s="34"/>
      <c r="E73" s="34"/>
      <c r="F73" s="34"/>
      <c r="G73" s="34"/>
    </row>
    <row r="74" spans="1:10" x14ac:dyDescent="0.2">
      <c r="A74" s="61" t="s">
        <v>214</v>
      </c>
      <c r="B74" s="34"/>
      <c r="C74" s="34"/>
      <c r="D74" s="34"/>
      <c r="E74" s="34"/>
      <c r="F74" s="34"/>
      <c r="G74" s="34"/>
    </row>
    <row r="75" spans="1:10" x14ac:dyDescent="0.2">
      <c r="A75" s="63" t="s">
        <v>215</v>
      </c>
    </row>
    <row r="76" spans="1:10" x14ac:dyDescent="0.2">
      <c r="A76" s="33" t="s">
        <v>216</v>
      </c>
      <c r="B76" s="35">
        <f>100000*1.1</f>
        <v>110000.00000000001</v>
      </c>
      <c r="G76" s="50" t="s">
        <v>217</v>
      </c>
    </row>
    <row r="77" spans="1:10" x14ac:dyDescent="0.2">
      <c r="A77" s="33" t="s">
        <v>218</v>
      </c>
      <c r="B77" s="35">
        <v>100000</v>
      </c>
      <c r="G77" s="50"/>
    </row>
    <row r="78" spans="1:10" x14ac:dyDescent="0.2">
      <c r="A78" s="64" t="s">
        <v>51</v>
      </c>
      <c r="B78" s="65">
        <f>+B76-B77</f>
        <v>10000.000000000015</v>
      </c>
    </row>
    <row r="79" spans="1:10" x14ac:dyDescent="0.2">
      <c r="A79" s="33" t="s">
        <v>219</v>
      </c>
      <c r="B79" s="35">
        <f>+B78*-0.2</f>
        <v>-2000.000000000003</v>
      </c>
      <c r="G79" s="50" t="s">
        <v>220</v>
      </c>
    </row>
    <row r="80" spans="1:10" x14ac:dyDescent="0.2">
      <c r="A80" s="33" t="s">
        <v>221</v>
      </c>
      <c r="B80" s="35">
        <f>100000*1.5</f>
        <v>150000</v>
      </c>
      <c r="G80" s="50" t="s">
        <v>222</v>
      </c>
      <c r="J80" s="32"/>
    </row>
    <row r="81" spans="1:10" x14ac:dyDescent="0.2">
      <c r="A81" s="33" t="s">
        <v>223</v>
      </c>
      <c r="B81" s="35">
        <v>100000</v>
      </c>
      <c r="G81" s="50"/>
      <c r="J81" s="32"/>
    </row>
    <row r="82" spans="1:10" x14ac:dyDescent="0.2">
      <c r="A82" s="64" t="s">
        <v>51</v>
      </c>
      <c r="B82" s="66">
        <f>+B80-B81</f>
        <v>50000</v>
      </c>
      <c r="J82" s="32"/>
    </row>
    <row r="83" spans="1:10" x14ac:dyDescent="0.2">
      <c r="A83" s="33" t="s">
        <v>224</v>
      </c>
      <c r="B83" s="35">
        <f>-B82*0.2</f>
        <v>-10000</v>
      </c>
      <c r="G83" s="50" t="s">
        <v>225</v>
      </c>
      <c r="J83" s="32"/>
    </row>
    <row r="84" spans="1:10" x14ac:dyDescent="0.2">
      <c r="J84" s="32"/>
    </row>
    <row r="85" spans="1:10" x14ac:dyDescent="0.2">
      <c r="A85" s="67" t="s">
        <v>226</v>
      </c>
      <c r="B85" s="68"/>
      <c r="C85" s="69"/>
      <c r="D85" s="69"/>
      <c r="E85" s="69"/>
      <c r="F85" s="69"/>
      <c r="G85" s="37"/>
      <c r="J85" s="32"/>
    </row>
    <row r="86" spans="1:10" x14ac:dyDescent="0.2">
      <c r="A86" s="70" t="s">
        <v>227</v>
      </c>
      <c r="B86" s="71"/>
      <c r="C86" s="71"/>
      <c r="D86" s="71"/>
      <c r="E86" s="71"/>
      <c r="F86" s="71"/>
      <c r="G86" s="71"/>
      <c r="J86" s="32"/>
    </row>
    <row r="87" spans="1:10" x14ac:dyDescent="0.2">
      <c r="A87" s="72" t="s">
        <v>228</v>
      </c>
      <c r="B87" s="35"/>
      <c r="C87" s="73"/>
      <c r="D87" s="73"/>
      <c r="E87" s="73"/>
      <c r="F87" s="73"/>
      <c r="G87" s="74"/>
      <c r="J87" s="32"/>
    </row>
    <row r="88" spans="1:10" x14ac:dyDescent="0.2">
      <c r="A88" s="75">
        <v>40908</v>
      </c>
      <c r="B88" s="35">
        <f>10000+50000*0.03</f>
        <v>11500</v>
      </c>
      <c r="C88" s="43"/>
      <c r="D88" s="43"/>
      <c r="E88" s="43"/>
      <c r="F88" s="43"/>
      <c r="G88" s="45" t="s">
        <v>229</v>
      </c>
      <c r="J88" s="32"/>
    </row>
    <row r="89" spans="1:10" x14ac:dyDescent="0.2">
      <c r="A89" s="75">
        <v>41274</v>
      </c>
      <c r="B89" s="35">
        <f>10000+40000*0.03</f>
        <v>11200</v>
      </c>
      <c r="C89" s="43"/>
      <c r="D89" s="43"/>
      <c r="E89" s="43"/>
      <c r="F89" s="43"/>
      <c r="G89" s="45" t="s">
        <v>230</v>
      </c>
      <c r="J89" s="32"/>
    </row>
    <row r="90" spans="1:10" x14ac:dyDescent="0.2">
      <c r="A90" s="75">
        <v>41639</v>
      </c>
      <c r="B90" s="35">
        <f>10000+30000*0.03</f>
        <v>10900</v>
      </c>
      <c r="C90" s="43"/>
      <c r="D90" s="43"/>
      <c r="E90" s="43"/>
      <c r="F90" s="43"/>
      <c r="G90" s="45" t="s">
        <v>231</v>
      </c>
      <c r="J90" s="32"/>
    </row>
    <row r="91" spans="1:10" x14ac:dyDescent="0.2">
      <c r="A91" s="75">
        <v>42004</v>
      </c>
      <c r="B91" s="35">
        <f>10000+20000*0.03</f>
        <v>10600</v>
      </c>
      <c r="C91" s="73"/>
      <c r="D91" s="73"/>
      <c r="E91" s="73"/>
      <c r="F91" s="73"/>
      <c r="G91" s="45" t="s">
        <v>232</v>
      </c>
      <c r="J91" s="32"/>
    </row>
    <row r="92" spans="1:10" x14ac:dyDescent="0.2">
      <c r="A92" s="75">
        <v>42369</v>
      </c>
      <c r="B92" s="35">
        <f>10000+10000*0.03</f>
        <v>10300</v>
      </c>
      <c r="C92" s="73"/>
      <c r="D92" s="73"/>
      <c r="E92" s="73"/>
      <c r="F92" s="73"/>
      <c r="G92" s="45" t="s">
        <v>233</v>
      </c>
      <c r="J92" s="32"/>
    </row>
    <row r="93" spans="1:10" x14ac:dyDescent="0.2">
      <c r="A93" s="76" t="s">
        <v>234</v>
      </c>
      <c r="B93" s="35">
        <f>+NPV(0.05,B88:B92)</f>
        <v>47317.906682523266</v>
      </c>
      <c r="C93" s="73"/>
      <c r="D93" s="73"/>
      <c r="E93" s="73"/>
      <c r="F93" s="73"/>
      <c r="G93" s="74"/>
      <c r="J93" s="32"/>
    </row>
    <row r="94" spans="1:10" x14ac:dyDescent="0.2">
      <c r="A94" s="72" t="s">
        <v>235</v>
      </c>
      <c r="B94" s="35">
        <v>5000</v>
      </c>
      <c r="C94" s="73"/>
      <c r="D94" s="73"/>
      <c r="E94" s="73"/>
      <c r="F94" s="73"/>
      <c r="G94" s="73"/>
      <c r="J94" s="32"/>
    </row>
    <row r="95" spans="1:10" x14ac:dyDescent="0.2">
      <c r="A95" s="72" t="s">
        <v>236</v>
      </c>
      <c r="B95" s="35">
        <f>+B93-B94</f>
        <v>42317.906682523266</v>
      </c>
      <c r="C95" s="73"/>
      <c r="D95" s="73"/>
      <c r="E95" s="73"/>
      <c r="F95" s="73"/>
      <c r="G95" s="73"/>
      <c r="J95" s="32"/>
    </row>
    <row r="96" spans="1:10" x14ac:dyDescent="0.2">
      <c r="A96" s="72"/>
      <c r="B96" s="35"/>
      <c r="C96" s="73"/>
      <c r="D96" s="73"/>
      <c r="E96" s="73"/>
      <c r="F96" s="73"/>
      <c r="G96" s="73"/>
      <c r="J96" s="32"/>
    </row>
    <row r="97" spans="1:10" x14ac:dyDescent="0.2">
      <c r="A97" s="73" t="s">
        <v>237</v>
      </c>
      <c r="B97" s="35"/>
      <c r="C97" s="73"/>
      <c r="D97" s="73"/>
      <c r="E97" s="73"/>
      <c r="F97" s="73"/>
      <c r="G97" s="73"/>
      <c r="J97" s="32"/>
    </row>
    <row r="98" spans="1:10" x14ac:dyDescent="0.2">
      <c r="A98" s="73" t="s">
        <v>228</v>
      </c>
      <c r="J98" s="32"/>
    </row>
    <row r="99" spans="1:10" x14ac:dyDescent="0.2">
      <c r="A99" s="77">
        <v>40544</v>
      </c>
      <c r="B99" s="35">
        <f>+-B95</f>
        <v>-42317.906682523266</v>
      </c>
      <c r="C99" s="73"/>
      <c r="D99" s="73"/>
      <c r="E99" s="73"/>
      <c r="F99" s="73"/>
      <c r="G99" s="78"/>
      <c r="J99" s="32"/>
    </row>
    <row r="100" spans="1:10" x14ac:dyDescent="0.2">
      <c r="A100" s="77">
        <v>40908</v>
      </c>
      <c r="B100" s="35">
        <f>10000+50000*0.03</f>
        <v>11500</v>
      </c>
      <c r="C100" s="73"/>
      <c r="D100" s="73"/>
      <c r="E100" s="73"/>
      <c r="F100" s="73"/>
      <c r="G100" s="78"/>
      <c r="J100" s="32"/>
    </row>
    <row r="101" spans="1:10" x14ac:dyDescent="0.2">
      <c r="A101" s="77">
        <v>41274</v>
      </c>
      <c r="B101" s="35">
        <f>10000+40000*0.03</f>
        <v>11200</v>
      </c>
      <c r="C101" s="73"/>
      <c r="D101" s="73"/>
      <c r="E101" s="73"/>
      <c r="F101" s="73"/>
      <c r="G101" s="78"/>
      <c r="J101" s="32"/>
    </row>
    <row r="102" spans="1:10" x14ac:dyDescent="0.2">
      <c r="A102" s="77">
        <v>41639</v>
      </c>
      <c r="B102" s="35">
        <f>10000+30000*0.03</f>
        <v>10900</v>
      </c>
      <c r="C102" s="73"/>
      <c r="D102" s="73"/>
      <c r="E102" s="73"/>
      <c r="F102" s="73"/>
      <c r="G102" s="78"/>
      <c r="J102" s="32"/>
    </row>
    <row r="103" spans="1:10" x14ac:dyDescent="0.2">
      <c r="A103" s="77">
        <v>42004</v>
      </c>
      <c r="B103" s="35">
        <f>10000+20000*0.03</f>
        <v>10600</v>
      </c>
      <c r="C103" s="73"/>
      <c r="D103" s="73"/>
      <c r="E103" s="73"/>
      <c r="F103" s="73"/>
      <c r="G103" s="78"/>
      <c r="J103" s="32"/>
    </row>
    <row r="104" spans="1:10" x14ac:dyDescent="0.2">
      <c r="A104" s="77">
        <v>42369</v>
      </c>
      <c r="B104" s="35">
        <f>10000+10000*0.03</f>
        <v>10300</v>
      </c>
      <c r="C104" s="73"/>
      <c r="D104" s="73"/>
      <c r="E104" s="73"/>
      <c r="F104" s="73"/>
      <c r="G104" s="73"/>
      <c r="J104" s="32"/>
    </row>
    <row r="105" spans="1:10" ht="14.25" x14ac:dyDescent="0.2">
      <c r="A105" s="73"/>
      <c r="B105" s="79">
        <f>IRR(B99:B104)</f>
        <v>9.2594509908532574E-2</v>
      </c>
      <c r="C105" s="73"/>
      <c r="D105" s="73"/>
      <c r="E105" s="73"/>
      <c r="F105" s="73"/>
      <c r="G105" s="78" t="s">
        <v>238</v>
      </c>
      <c r="J105" s="32"/>
    </row>
    <row r="106" spans="1:10" x14ac:dyDescent="0.2">
      <c r="A106" s="73"/>
      <c r="B106" s="35"/>
      <c r="C106" s="73"/>
      <c r="D106" s="73"/>
      <c r="E106" s="73"/>
      <c r="F106" s="73"/>
      <c r="G106" s="73"/>
      <c r="J106" s="32"/>
    </row>
    <row r="107" spans="1:10" x14ac:dyDescent="0.2">
      <c r="A107" s="78" t="s">
        <v>239</v>
      </c>
      <c r="B107" s="80">
        <f>NPV(B105,B101,B102,B103,B104)</f>
        <v>34736.312512146535</v>
      </c>
      <c r="C107" s="73"/>
      <c r="D107" s="73"/>
      <c r="E107" s="73"/>
      <c r="F107" s="73"/>
      <c r="G107" s="81" t="s">
        <v>240</v>
      </c>
      <c r="J107" s="32"/>
    </row>
    <row r="108" spans="1:10" x14ac:dyDescent="0.2">
      <c r="A108" s="78" t="s">
        <v>241</v>
      </c>
      <c r="B108" s="80">
        <f>+NPV(0.05,B101:B104)</f>
        <v>38183.802016649446</v>
      </c>
      <c r="C108" s="73"/>
      <c r="D108" s="73"/>
      <c r="E108" s="73"/>
      <c r="F108" s="73"/>
      <c r="G108" s="81" t="s">
        <v>242</v>
      </c>
      <c r="J108" s="32"/>
    </row>
    <row r="109" spans="1:10" x14ac:dyDescent="0.2">
      <c r="A109" s="73" t="s">
        <v>51</v>
      </c>
      <c r="B109" s="80">
        <f>+B107-B108</f>
        <v>-3447.4895045029116</v>
      </c>
      <c r="C109" s="73"/>
      <c r="D109" s="73"/>
      <c r="E109" s="73"/>
      <c r="F109" s="73"/>
      <c r="G109" s="73"/>
      <c r="J109" s="32"/>
    </row>
    <row r="110" spans="1:10" x14ac:dyDescent="0.2">
      <c r="A110" s="67" t="s">
        <v>243</v>
      </c>
      <c r="B110" s="82">
        <f>+B109*0.25</f>
        <v>-861.8723761257279</v>
      </c>
      <c r="C110" s="71"/>
      <c r="D110" s="71"/>
      <c r="E110" s="71"/>
      <c r="F110" s="71"/>
      <c r="G110" s="83" t="s">
        <v>244</v>
      </c>
      <c r="J110" s="32"/>
    </row>
    <row r="111" spans="1:10" x14ac:dyDescent="0.2">
      <c r="A111" s="73"/>
      <c r="B111" s="80"/>
      <c r="C111" s="73"/>
      <c r="D111" s="73"/>
      <c r="E111" s="73"/>
      <c r="F111" s="73"/>
      <c r="G111" s="73"/>
      <c r="J111" s="32"/>
    </row>
    <row r="112" spans="1:10" x14ac:dyDescent="0.2">
      <c r="A112" s="78" t="s">
        <v>245</v>
      </c>
      <c r="B112" s="80">
        <f>+B107*B105</f>
        <v>3216.3918330918364</v>
      </c>
      <c r="C112" s="73"/>
      <c r="D112" s="73"/>
      <c r="E112" s="73"/>
      <c r="F112" s="73"/>
      <c r="G112" s="84" t="s">
        <v>246</v>
      </c>
      <c r="J112" s="32"/>
    </row>
    <row r="113" spans="1:10" x14ac:dyDescent="0.2">
      <c r="A113" s="78" t="s">
        <v>247</v>
      </c>
      <c r="B113" s="80">
        <f>+B108*0.05</f>
        <v>1909.1901008324724</v>
      </c>
      <c r="C113" s="73"/>
      <c r="D113" s="73"/>
      <c r="E113" s="73"/>
      <c r="F113" s="73"/>
      <c r="G113" s="84" t="s">
        <v>248</v>
      </c>
      <c r="J113" s="32"/>
    </row>
    <row r="114" spans="1:10" x14ac:dyDescent="0.2">
      <c r="A114" s="73"/>
      <c r="B114" s="80"/>
      <c r="C114" s="73"/>
      <c r="D114" s="73"/>
      <c r="E114" s="73"/>
      <c r="F114" s="73"/>
      <c r="G114" s="73"/>
      <c r="J114" s="32"/>
    </row>
    <row r="115" spans="1:10" x14ac:dyDescent="0.2">
      <c r="A115" s="78" t="s">
        <v>249</v>
      </c>
      <c r="B115" s="80">
        <f>+NPV(B105,B102,B103,B104)</f>
        <v>26752.704345238377</v>
      </c>
      <c r="C115" s="73"/>
      <c r="D115" s="73"/>
      <c r="E115" s="73"/>
      <c r="F115" s="73"/>
      <c r="G115" s="81" t="s">
        <v>250</v>
      </c>
      <c r="J115" s="32"/>
    </row>
    <row r="116" spans="1:10" x14ac:dyDescent="0.2">
      <c r="A116" s="78" t="s">
        <v>251</v>
      </c>
      <c r="B116" s="80">
        <f>+NPV(0.05,B102,B103,B104)</f>
        <v>28892.992117481914</v>
      </c>
      <c r="C116" s="73"/>
      <c r="D116" s="73"/>
      <c r="E116" s="73"/>
      <c r="F116" s="73"/>
      <c r="G116" s="81" t="s">
        <v>252</v>
      </c>
      <c r="J116" s="32"/>
    </row>
    <row r="117" spans="1:10" x14ac:dyDescent="0.2">
      <c r="A117" s="73" t="s">
        <v>51</v>
      </c>
      <c r="B117" s="85">
        <f>+B115-B116</f>
        <v>-2140.2877722435369</v>
      </c>
      <c r="C117" s="73"/>
      <c r="D117" s="73"/>
      <c r="E117" s="73"/>
      <c r="F117" s="73"/>
      <c r="G117" s="73"/>
      <c r="J117" s="32"/>
    </row>
    <row r="118" spans="1:10" x14ac:dyDescent="0.2">
      <c r="A118" s="78" t="s">
        <v>253</v>
      </c>
      <c r="B118" s="73"/>
      <c r="C118" s="73"/>
      <c r="D118" s="73"/>
      <c r="E118" s="73"/>
      <c r="F118" s="73"/>
      <c r="G118" s="73"/>
      <c r="J118" s="32"/>
    </row>
    <row r="119" spans="1:10" x14ac:dyDescent="0.2">
      <c r="A119" s="78" t="s">
        <v>254</v>
      </c>
      <c r="B119" s="80">
        <f>+NPV(B105,B103,B104)</f>
        <v>18329.857892813594</v>
      </c>
      <c r="C119" s="73"/>
      <c r="D119" s="73"/>
      <c r="E119" s="73"/>
      <c r="F119" s="73"/>
      <c r="G119" s="81" t="s">
        <v>255</v>
      </c>
      <c r="J119" s="32"/>
    </row>
    <row r="120" spans="1:10" x14ac:dyDescent="0.2">
      <c r="A120" s="78" t="s">
        <v>256</v>
      </c>
      <c r="B120" s="80">
        <f>+NPV(0.05,B103,B104)</f>
        <v>19437.64172335601</v>
      </c>
      <c r="C120" s="73"/>
      <c r="D120" s="73"/>
      <c r="E120" s="73"/>
      <c r="F120" s="73"/>
      <c r="G120" s="81" t="s">
        <v>257</v>
      </c>
      <c r="J120" s="32"/>
    </row>
    <row r="121" spans="1:10" x14ac:dyDescent="0.2">
      <c r="A121" s="73" t="s">
        <v>51</v>
      </c>
      <c r="B121" s="85">
        <f>+B119-B120</f>
        <v>-1107.7838305424157</v>
      </c>
      <c r="C121" s="85"/>
      <c r="D121" s="73"/>
      <c r="E121" s="73"/>
      <c r="F121" s="73"/>
      <c r="G121" s="73"/>
      <c r="J121" s="32"/>
    </row>
    <row r="122" spans="1:10" x14ac:dyDescent="0.2">
      <c r="A122" s="85"/>
      <c r="B122" s="73"/>
      <c r="C122" s="85"/>
      <c r="D122" s="73"/>
      <c r="E122" s="73"/>
      <c r="F122" s="73"/>
      <c r="G122" s="73"/>
      <c r="J122" s="32"/>
    </row>
    <row r="123" spans="1:10" x14ac:dyDescent="0.2">
      <c r="A123" s="78" t="s">
        <v>258</v>
      </c>
      <c r="B123" s="73"/>
      <c r="C123" s="73"/>
      <c r="D123" s="73"/>
      <c r="E123" s="73"/>
      <c r="F123" s="73"/>
      <c r="G123" s="73"/>
      <c r="J123" s="32"/>
    </row>
    <row r="124" spans="1:10" x14ac:dyDescent="0.2">
      <c r="A124" s="86" t="s">
        <v>259</v>
      </c>
      <c r="B124" s="82">
        <f>+(B117-B121)*0.27+B121*0.3</f>
        <v>-611.1112134220275</v>
      </c>
      <c r="C124" s="73"/>
      <c r="D124" s="73"/>
      <c r="E124" s="73"/>
      <c r="F124" s="73"/>
      <c r="G124" s="84" t="s">
        <v>260</v>
      </c>
      <c r="J124" s="32"/>
    </row>
    <row r="125" spans="1:10" x14ac:dyDescent="0.2">
      <c r="J125" s="32"/>
    </row>
    <row r="126" spans="1:10" s="34" customFormat="1" x14ac:dyDescent="0.2">
      <c r="A126" s="87" t="s">
        <v>261</v>
      </c>
      <c r="B126" s="43"/>
      <c r="C126" s="43"/>
      <c r="D126" s="43"/>
      <c r="E126" s="43"/>
      <c r="F126" s="43"/>
      <c r="G126" s="43"/>
      <c r="J126" s="36"/>
    </row>
    <row r="127" spans="1:10" s="34" customFormat="1" x14ac:dyDescent="0.2">
      <c r="A127" s="88" t="s">
        <v>262</v>
      </c>
      <c r="B127" s="43"/>
      <c r="C127" s="43"/>
      <c r="D127" s="43"/>
      <c r="E127" s="43"/>
      <c r="F127" s="43"/>
      <c r="G127" s="43"/>
      <c r="J127" s="36"/>
    </row>
    <row r="128" spans="1:10" s="34" customFormat="1" x14ac:dyDescent="0.2">
      <c r="A128" s="47" t="s">
        <v>263</v>
      </c>
      <c r="B128" s="44">
        <f>30000*0.27+30000*0.3</f>
        <v>17100</v>
      </c>
      <c r="C128" s="43"/>
      <c r="D128" s="43"/>
      <c r="E128" s="43"/>
      <c r="F128" s="43"/>
      <c r="G128" s="45" t="s">
        <v>264</v>
      </c>
      <c r="J128" s="36"/>
    </row>
    <row r="129" spans="1:10" s="34" customFormat="1" x14ac:dyDescent="0.2">
      <c r="A129" s="47" t="s">
        <v>265</v>
      </c>
      <c r="B129" s="44"/>
      <c r="C129" s="43"/>
      <c r="D129" s="43"/>
      <c r="E129" s="43"/>
      <c r="F129" s="43"/>
      <c r="G129" s="43"/>
      <c r="J129" s="36"/>
    </row>
    <row r="130" spans="1:10" s="34" customFormat="1" x14ac:dyDescent="0.2">
      <c r="A130" s="47" t="s">
        <v>266</v>
      </c>
      <c r="B130" s="44"/>
      <c r="C130" s="43"/>
      <c r="D130" s="43"/>
      <c r="E130" s="43"/>
      <c r="F130" s="43"/>
      <c r="G130" s="43"/>
      <c r="J130" s="36"/>
    </row>
    <row r="131" spans="1:10" s="34" customFormat="1" x14ac:dyDescent="0.2">
      <c r="A131" s="47"/>
      <c r="B131" s="44"/>
      <c r="C131" s="43"/>
      <c r="D131" s="43"/>
      <c r="E131" s="43"/>
      <c r="F131" s="43"/>
      <c r="G131" s="43"/>
      <c r="J131" s="36"/>
    </row>
    <row r="132" spans="1:10" s="34" customFormat="1" x14ac:dyDescent="0.2">
      <c r="A132" s="87" t="s">
        <v>267</v>
      </c>
      <c r="B132" s="43"/>
      <c r="C132" s="43"/>
      <c r="D132" s="43"/>
      <c r="E132" s="43"/>
      <c r="F132" s="43"/>
      <c r="G132" s="43"/>
      <c r="J132" s="36"/>
    </row>
    <row r="133" spans="1:10" s="34" customFormat="1" x14ac:dyDescent="0.2">
      <c r="A133" s="88" t="s">
        <v>268</v>
      </c>
      <c r="B133" s="43"/>
      <c r="C133" s="43"/>
      <c r="D133" s="43"/>
      <c r="E133" s="43"/>
      <c r="F133" s="43"/>
      <c r="G133" s="43"/>
      <c r="J133" s="36"/>
    </row>
    <row r="134" spans="1:10" s="34" customFormat="1" x14ac:dyDescent="0.2">
      <c r="A134" s="87" t="s">
        <v>269</v>
      </c>
      <c r="B134" s="43"/>
      <c r="C134" s="43"/>
      <c r="D134" s="43"/>
      <c r="E134" s="43"/>
      <c r="F134" s="43"/>
      <c r="G134" s="43"/>
      <c r="J134" s="36"/>
    </row>
    <row r="135" spans="1:10" s="34" customFormat="1" x14ac:dyDescent="0.2">
      <c r="A135" s="46" t="s">
        <v>270</v>
      </c>
      <c r="B135" s="80">
        <v>120000</v>
      </c>
      <c r="C135" s="43"/>
      <c r="D135" s="43"/>
      <c r="E135" s="43"/>
      <c r="F135" s="43"/>
      <c r="G135" s="43"/>
      <c r="J135" s="36"/>
    </row>
    <row r="136" spans="1:10" s="34" customFormat="1" x14ac:dyDescent="0.2">
      <c r="A136" s="46" t="s">
        <v>271</v>
      </c>
      <c r="B136" s="80">
        <f>100000*0.9</f>
        <v>90000</v>
      </c>
      <c r="C136" s="43"/>
      <c r="D136" s="43"/>
      <c r="E136" s="43"/>
      <c r="F136" s="43"/>
      <c r="G136" s="45" t="s">
        <v>272</v>
      </c>
      <c r="J136" s="36"/>
    </row>
    <row r="137" spans="1:10" s="34" customFormat="1" x14ac:dyDescent="0.2">
      <c r="A137" s="87" t="s">
        <v>51</v>
      </c>
      <c r="B137" s="80">
        <f>+B135-B136</f>
        <v>30000</v>
      </c>
      <c r="C137" s="43"/>
      <c r="D137" s="43"/>
      <c r="E137" s="43"/>
      <c r="F137" s="43"/>
      <c r="G137" s="43"/>
      <c r="J137" s="36"/>
    </row>
    <row r="138" spans="1:10" s="34" customFormat="1" x14ac:dyDescent="0.2">
      <c r="A138" s="87" t="s">
        <v>273</v>
      </c>
      <c r="B138" s="82">
        <f>-B137*0.25</f>
        <v>-7500</v>
      </c>
      <c r="C138" s="43"/>
      <c r="D138" s="43"/>
      <c r="E138" s="43"/>
      <c r="F138" s="43"/>
      <c r="G138" s="47" t="s">
        <v>274</v>
      </c>
      <c r="J138" s="36"/>
    </row>
    <row r="139" spans="1:10" s="34" customFormat="1" x14ac:dyDescent="0.2">
      <c r="A139" s="87"/>
      <c r="B139" s="89"/>
      <c r="C139" s="43"/>
      <c r="D139" s="43"/>
      <c r="E139" s="43"/>
      <c r="F139" s="43"/>
      <c r="G139" s="43"/>
      <c r="J139" s="36"/>
    </row>
    <row r="140" spans="1:10" s="34" customFormat="1" x14ac:dyDescent="0.2">
      <c r="A140" s="87" t="s">
        <v>275</v>
      </c>
      <c r="B140" s="89">
        <v>50000</v>
      </c>
      <c r="C140" s="43"/>
      <c r="D140" s="43"/>
      <c r="E140" s="43"/>
      <c r="F140" s="43"/>
      <c r="G140" s="43"/>
      <c r="J140" s="36"/>
    </row>
    <row r="141" spans="1:10" s="34" customFormat="1" x14ac:dyDescent="0.2">
      <c r="A141" s="87" t="s">
        <v>276</v>
      </c>
      <c r="B141" s="89">
        <f>100000*0.8</f>
        <v>80000</v>
      </c>
      <c r="C141" s="43"/>
      <c r="D141" s="43"/>
      <c r="E141" s="43"/>
      <c r="F141" s="43"/>
      <c r="G141" s="45" t="s">
        <v>277</v>
      </c>
      <c r="J141" s="36"/>
    </row>
    <row r="142" spans="1:10" s="34" customFormat="1" x14ac:dyDescent="0.2">
      <c r="A142" s="87"/>
      <c r="B142" s="89"/>
      <c r="C142" s="43"/>
      <c r="D142" s="43"/>
      <c r="E142" s="43"/>
      <c r="F142" s="43"/>
      <c r="G142" s="43"/>
      <c r="J142" s="36"/>
    </row>
    <row r="143" spans="1:10" s="34" customFormat="1" x14ac:dyDescent="0.2">
      <c r="A143" s="87" t="s">
        <v>278</v>
      </c>
      <c r="B143" s="89">
        <f>7500*0.888888888888889</f>
        <v>6666.666666666667</v>
      </c>
      <c r="C143" s="43"/>
      <c r="D143" s="43"/>
      <c r="E143" s="43"/>
      <c r="F143" s="43"/>
      <c r="G143" s="45" t="s">
        <v>279</v>
      </c>
      <c r="J143" s="36"/>
    </row>
    <row r="144" spans="1:10" s="34" customFormat="1" x14ac:dyDescent="0.2">
      <c r="A144" s="87"/>
      <c r="B144" s="89"/>
      <c r="C144" s="43"/>
      <c r="D144" s="43"/>
      <c r="E144" s="43"/>
      <c r="F144" s="43"/>
      <c r="G144" s="90"/>
      <c r="J144" s="36"/>
    </row>
    <row r="145" spans="1:10" s="34" customFormat="1" x14ac:dyDescent="0.2">
      <c r="A145" s="87" t="s">
        <v>280</v>
      </c>
      <c r="B145" s="80">
        <v>833.33333333333337</v>
      </c>
      <c r="C145" s="43"/>
      <c r="D145" s="43"/>
      <c r="E145" s="43"/>
      <c r="F145" s="43"/>
      <c r="G145" s="45" t="s">
        <v>281</v>
      </c>
      <c r="J145" s="36"/>
    </row>
    <row r="146" spans="1:10" s="34" customFormat="1" x14ac:dyDescent="0.2">
      <c r="A146" s="87" t="s">
        <v>282</v>
      </c>
      <c r="B146" s="80">
        <f>30000*(1/8*0.27+7/8*0.3)</f>
        <v>8887.5</v>
      </c>
      <c r="C146" s="43"/>
      <c r="D146" s="43"/>
      <c r="E146" s="43"/>
      <c r="F146" s="43"/>
      <c r="G146" s="45" t="s">
        <v>283</v>
      </c>
      <c r="J146" s="36"/>
    </row>
    <row r="147" spans="1:10" s="34" customFormat="1" x14ac:dyDescent="0.2">
      <c r="A147" s="87" t="s">
        <v>284</v>
      </c>
      <c r="B147" s="80">
        <f>+B146+B145</f>
        <v>9720.8333333333339</v>
      </c>
      <c r="C147" s="43"/>
      <c r="D147" s="43"/>
      <c r="E147" s="43"/>
      <c r="F147" s="43"/>
      <c r="G147" s="45"/>
      <c r="J147" s="36"/>
    </row>
    <row r="148" spans="1:10" s="34" customFormat="1" x14ac:dyDescent="0.2">
      <c r="A148" s="87"/>
      <c r="B148" s="89"/>
      <c r="C148" s="43"/>
      <c r="D148" s="43"/>
      <c r="E148" s="43"/>
      <c r="F148" s="43"/>
      <c r="G148" s="45"/>
      <c r="J148" s="36"/>
    </row>
    <row r="149" spans="1:10" s="34" customFormat="1" x14ac:dyDescent="0.2">
      <c r="A149" s="87" t="s">
        <v>285</v>
      </c>
      <c r="B149" s="89">
        <f>+B146</f>
        <v>8887.5</v>
      </c>
      <c r="C149" s="43"/>
      <c r="D149" s="43"/>
      <c r="E149" s="43"/>
      <c r="F149" s="43"/>
      <c r="G149" s="45" t="s">
        <v>283</v>
      </c>
      <c r="J149" s="36"/>
    </row>
    <row r="150" spans="1:10" s="34" customFormat="1" x14ac:dyDescent="0.2">
      <c r="A150" s="46" t="s">
        <v>286</v>
      </c>
      <c r="B150" s="43"/>
      <c r="C150" s="43"/>
      <c r="D150" s="43"/>
      <c r="E150" s="43"/>
      <c r="F150" s="43"/>
      <c r="G150" s="43"/>
      <c r="J150" s="36"/>
    </row>
    <row r="151" spans="1:10" s="34" customFormat="1" x14ac:dyDescent="0.2">
      <c r="A151" s="87"/>
      <c r="B151" s="43"/>
      <c r="C151" s="43"/>
      <c r="D151" s="43"/>
      <c r="E151" s="43"/>
      <c r="F151" s="43"/>
      <c r="G151" s="43"/>
      <c r="J151" s="36"/>
    </row>
    <row r="152" spans="1:10" s="34" customFormat="1" x14ac:dyDescent="0.2">
      <c r="A152" s="87" t="s">
        <v>287</v>
      </c>
      <c r="J152" s="36"/>
    </row>
    <row r="153" spans="1:10" x14ac:dyDescent="0.2">
      <c r="A153" s="91" t="s">
        <v>288</v>
      </c>
      <c r="B153" s="43"/>
      <c r="C153" s="43"/>
      <c r="D153" s="43"/>
      <c r="E153" s="43"/>
      <c r="F153" s="43"/>
      <c r="G153" s="43"/>
    </row>
    <row r="154" spans="1:10" x14ac:dyDescent="0.2">
      <c r="A154" s="47" t="s">
        <v>289</v>
      </c>
      <c r="B154" s="44">
        <f>50000*0.2</f>
        <v>10000</v>
      </c>
      <c r="C154" s="43"/>
      <c r="D154" s="43"/>
      <c r="E154" s="43"/>
      <c r="F154" s="43"/>
      <c r="G154" s="45" t="s">
        <v>290</v>
      </c>
    </row>
    <row r="155" spans="1:10" x14ac:dyDescent="0.2">
      <c r="A155" s="47" t="s">
        <v>291</v>
      </c>
      <c r="B155" s="44">
        <f>+-10000*0.2</f>
        <v>-2000</v>
      </c>
      <c r="C155" s="43"/>
      <c r="D155" s="43"/>
      <c r="E155" s="43"/>
      <c r="F155" s="43"/>
      <c r="G155" s="45" t="s">
        <v>292</v>
      </c>
    </row>
  </sheetData>
  <pageMargins left="0.75" right="0.75" top="1" bottom="1" header="0.5" footer="0.5"/>
  <pageSetup paperSize="9" scale="79" orientation="portrait" r:id="rId1"/>
  <headerFooter alignWithMargins="0"/>
  <rowBreaks count="1" manualBreakCount="1">
    <brk id="65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0"/>
  <sheetViews>
    <sheetView rightToLeft="1" topLeftCell="A16" workbookViewId="0">
      <selection activeCell="B40" sqref="B40"/>
    </sheetView>
  </sheetViews>
  <sheetFormatPr defaultRowHeight="14.25" x14ac:dyDescent="0.2"/>
  <cols>
    <col min="1" max="1" width="19.5" customWidth="1"/>
    <col min="2" max="2" width="26" customWidth="1"/>
    <col min="3" max="3" width="9.875" bestFit="1" customWidth="1"/>
    <col min="4" max="4" width="12.125" customWidth="1"/>
    <col min="5" max="5" width="9.875" bestFit="1" customWidth="1"/>
    <col min="6" max="6" width="3.625" customWidth="1"/>
    <col min="8" max="8" width="13.75" customWidth="1"/>
  </cols>
  <sheetData>
    <row r="1" spans="1:26" ht="15" x14ac:dyDescent="0.25">
      <c r="A1" s="92" t="s">
        <v>294</v>
      </c>
    </row>
    <row r="2" spans="1:26" ht="15" x14ac:dyDescent="0.25">
      <c r="C2" s="92"/>
      <c r="G2" s="92"/>
      <c r="H2" s="31"/>
    </row>
    <row r="3" spans="1:26" ht="15" x14ac:dyDescent="0.25">
      <c r="C3" s="92"/>
      <c r="G3" s="92" t="s">
        <v>37</v>
      </c>
      <c r="H3" s="31"/>
    </row>
    <row r="4" spans="1:26" x14ac:dyDescent="0.2">
      <c r="A4" t="s">
        <v>295</v>
      </c>
      <c r="B4" t="s">
        <v>296</v>
      </c>
      <c r="C4" s="93">
        <v>300000</v>
      </c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</row>
    <row r="5" spans="1:26" x14ac:dyDescent="0.2">
      <c r="C5" s="93"/>
      <c r="D5" s="93"/>
      <c r="E5" s="93" t="s">
        <v>297</v>
      </c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spans="1:26" x14ac:dyDescent="0.2">
      <c r="B6" t="s">
        <v>298</v>
      </c>
      <c r="C6" s="93">
        <f>120000*0.25</f>
        <v>30000</v>
      </c>
      <c r="D6" s="93"/>
      <c r="E6" s="93"/>
      <c r="F6" s="93"/>
      <c r="G6" s="93">
        <f>-C207</f>
        <v>-10875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</row>
    <row r="7" spans="1:26" x14ac:dyDescent="0.2">
      <c r="C7" s="93"/>
      <c r="D7" s="93"/>
      <c r="E7" s="93" t="s">
        <v>299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</row>
    <row r="8" spans="1:26" x14ac:dyDescent="0.2">
      <c r="B8" t="s">
        <v>300</v>
      </c>
      <c r="C8" s="93">
        <f>-20000*3/6</f>
        <v>-10000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</row>
    <row r="9" spans="1:26" x14ac:dyDescent="0.2">
      <c r="C9" s="93"/>
      <c r="D9" s="93"/>
      <c r="E9" s="93" t="s">
        <v>301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</row>
    <row r="10" spans="1:26" x14ac:dyDescent="0.2">
      <c r="B10" t="s">
        <v>521</v>
      </c>
      <c r="C10" s="93">
        <f>-12500/11</f>
        <v>-1136.3636363636363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</row>
    <row r="11" spans="1:26" x14ac:dyDescent="0.2">
      <c r="C11" s="93"/>
      <c r="D11" s="93"/>
      <c r="E11" s="93" t="s">
        <v>302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</row>
    <row r="12" spans="1:26" x14ac:dyDescent="0.2">
      <c r="B12" t="s">
        <v>303</v>
      </c>
      <c r="C12" s="93">
        <f>0.25*(30392-21116)</f>
        <v>2319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</row>
    <row r="13" spans="1:26" x14ac:dyDescent="0.2">
      <c r="C13" s="93"/>
      <c r="D13" s="93"/>
      <c r="E13" s="93" t="s">
        <v>304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</row>
    <row r="14" spans="1:26" x14ac:dyDescent="0.2">
      <c r="B14" t="s">
        <v>305</v>
      </c>
      <c r="C14" s="93">
        <f>0.25*(13884-19895)</f>
        <v>-1502.75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</row>
    <row r="15" spans="1:26" x14ac:dyDescent="0.2">
      <c r="C15" s="93"/>
      <c r="D15" s="93"/>
      <c r="E15" s="93"/>
      <c r="F15" s="93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3"/>
      <c r="U15" s="93"/>
      <c r="V15" s="93"/>
      <c r="W15" s="93"/>
      <c r="X15" s="93"/>
      <c r="Y15" s="93"/>
      <c r="Z15" s="93"/>
    </row>
    <row r="16" spans="1:26" ht="15" thickBot="1" x14ac:dyDescent="0.25">
      <c r="A16" t="s">
        <v>306</v>
      </c>
      <c r="B16" t="s">
        <v>307</v>
      </c>
      <c r="C16" s="95">
        <f>SUM(C4:C14)</f>
        <v>319679.88636363635</v>
      </c>
      <c r="D16" s="93"/>
      <c r="E16" s="93"/>
      <c r="F16" s="93"/>
      <c r="G16" s="95">
        <f>SUM(G4:G15)</f>
        <v>-10875</v>
      </c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3"/>
      <c r="U16" s="93"/>
      <c r="V16" s="93"/>
      <c r="W16" s="93"/>
      <c r="X16" s="93"/>
      <c r="Y16" s="93"/>
      <c r="Z16" s="93"/>
    </row>
    <row r="17" spans="1:26" x14ac:dyDescent="0.2">
      <c r="C17" s="93"/>
      <c r="D17" s="93"/>
      <c r="E17" s="93" t="s">
        <v>308</v>
      </c>
      <c r="F17" s="93"/>
      <c r="G17" s="93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3"/>
      <c r="U17" s="93"/>
      <c r="V17" s="93"/>
      <c r="W17" s="93"/>
      <c r="X17" s="93"/>
      <c r="Y17" s="93"/>
      <c r="Z17" s="93"/>
    </row>
    <row r="18" spans="1:26" x14ac:dyDescent="0.2">
      <c r="B18" t="s">
        <v>309</v>
      </c>
      <c r="C18" s="93">
        <f>113750*0.25</f>
        <v>28437.5</v>
      </c>
      <c r="D18" s="93"/>
      <c r="E18" s="93"/>
      <c r="F18" s="93"/>
      <c r="G18" s="93">
        <f>-10875</f>
        <v>-10875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3"/>
      <c r="U18" s="93"/>
      <c r="V18" s="93"/>
      <c r="W18" s="93"/>
      <c r="X18" s="93"/>
      <c r="Y18" s="93"/>
      <c r="Z18" s="93"/>
    </row>
    <row r="19" spans="1:26" x14ac:dyDescent="0.2">
      <c r="C19" s="93"/>
      <c r="D19" s="93"/>
      <c r="E19" s="93" t="s">
        <v>310</v>
      </c>
      <c r="F19" s="93"/>
      <c r="G19" s="93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3"/>
      <c r="U19" s="93"/>
      <c r="V19" s="93"/>
      <c r="W19" s="93"/>
      <c r="X19" s="93"/>
      <c r="Y19" s="93"/>
      <c r="Z19" s="93"/>
    </row>
    <row r="20" spans="1:26" x14ac:dyDescent="0.2">
      <c r="B20" t="s">
        <v>300</v>
      </c>
      <c r="C20" s="93">
        <f>-20000*2/6</f>
        <v>-6666.666666666667</v>
      </c>
      <c r="E20" s="93"/>
      <c r="F20" s="93"/>
      <c r="G20" s="93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3"/>
      <c r="U20" s="93"/>
      <c r="V20" s="93"/>
      <c r="W20" s="93"/>
      <c r="X20" s="93"/>
      <c r="Y20" s="93"/>
      <c r="Z20" s="93"/>
    </row>
    <row r="21" spans="1:26" x14ac:dyDescent="0.2">
      <c r="C21" s="93"/>
      <c r="D21" s="93"/>
      <c r="E21" s="93" t="s">
        <v>301</v>
      </c>
      <c r="F21" s="93"/>
      <c r="G21" s="93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3"/>
      <c r="U21" s="93"/>
      <c r="V21" s="93"/>
      <c r="W21" s="93"/>
      <c r="X21" s="93"/>
      <c r="Y21" s="93"/>
      <c r="Z21" s="93"/>
    </row>
    <row r="22" spans="1:26" x14ac:dyDescent="0.2">
      <c r="B22" t="s">
        <v>522</v>
      </c>
      <c r="C22" s="93">
        <f>-12500/11</f>
        <v>-1136.3636363636363</v>
      </c>
      <c r="D22" s="93"/>
      <c r="E22" s="93"/>
      <c r="F22" s="93"/>
      <c r="G22" s="93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3"/>
      <c r="U22" s="93"/>
      <c r="V22" s="93"/>
      <c r="W22" s="93"/>
      <c r="X22" s="93"/>
      <c r="Y22" s="93"/>
      <c r="Z22" s="93"/>
    </row>
    <row r="23" spans="1:26" x14ac:dyDescent="0.2">
      <c r="C23" s="93"/>
      <c r="D23" s="93"/>
      <c r="F23" s="93"/>
      <c r="G23" s="93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/>
      <c r="U23" s="93"/>
      <c r="V23" s="93"/>
      <c r="W23" s="93"/>
      <c r="X23" s="93"/>
      <c r="Y23" s="93"/>
      <c r="Z23" s="93"/>
    </row>
    <row r="24" spans="1:26" x14ac:dyDescent="0.2">
      <c r="B24" t="s">
        <v>311</v>
      </c>
      <c r="C24" s="93">
        <f>C263</f>
        <v>20000</v>
      </c>
      <c r="D24" s="93"/>
      <c r="E24" s="93"/>
      <c r="F24" s="93"/>
      <c r="G24" s="93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3"/>
      <c r="U24" s="93"/>
      <c r="V24" s="93"/>
      <c r="W24" s="93"/>
      <c r="X24" s="93"/>
      <c r="Y24" s="93"/>
      <c r="Z24" s="93"/>
    </row>
    <row r="25" spans="1:26" x14ac:dyDescent="0.2">
      <c r="C25" s="93"/>
      <c r="D25" s="93"/>
      <c r="E25" s="93" t="s">
        <v>312</v>
      </c>
      <c r="F25" s="93"/>
      <c r="G25" s="93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3"/>
      <c r="U25" s="93"/>
      <c r="V25" s="93"/>
      <c r="W25" s="93"/>
      <c r="X25" s="93"/>
      <c r="Y25" s="93"/>
      <c r="Z25" s="93"/>
    </row>
    <row r="26" spans="1:26" x14ac:dyDescent="0.2">
      <c r="B26" t="s">
        <v>313</v>
      </c>
      <c r="C26" s="93">
        <f>0.25*(21116-11011)</f>
        <v>2526.25</v>
      </c>
      <c r="E26" s="93"/>
      <c r="F26" s="93"/>
      <c r="G26" s="93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3"/>
      <c r="U26" s="93"/>
      <c r="V26" s="93"/>
      <c r="W26" s="93"/>
      <c r="X26" s="93"/>
      <c r="Y26" s="93"/>
      <c r="Z26" s="93"/>
    </row>
    <row r="27" spans="1:26" x14ac:dyDescent="0.2">
      <c r="C27" s="93"/>
      <c r="D27" s="93"/>
      <c r="E27" s="93" t="s">
        <v>314</v>
      </c>
      <c r="F27" s="93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3"/>
      <c r="U27" s="93"/>
      <c r="V27" s="93"/>
      <c r="W27" s="93"/>
      <c r="X27" s="93"/>
      <c r="Y27" s="93"/>
      <c r="Z27" s="93"/>
    </row>
    <row r="28" spans="1:26" x14ac:dyDescent="0.2">
      <c r="B28" t="s">
        <v>315</v>
      </c>
      <c r="C28" s="93">
        <f>0.25*(7273-13884)</f>
        <v>-1652.75</v>
      </c>
      <c r="D28" s="93"/>
      <c r="E28" s="93"/>
      <c r="F28" s="93"/>
      <c r="G28" s="93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3"/>
      <c r="U28" s="93"/>
      <c r="V28" s="93"/>
      <c r="W28" s="93"/>
      <c r="X28" s="93"/>
      <c r="Y28" s="93"/>
      <c r="Z28" s="93"/>
    </row>
    <row r="29" spans="1:26" x14ac:dyDescent="0.2">
      <c r="C29" s="93"/>
      <c r="D29" s="93"/>
      <c r="E29" s="93"/>
      <c r="F29" s="93"/>
      <c r="G29" s="93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3"/>
      <c r="U29" s="93"/>
      <c r="V29" s="93"/>
      <c r="W29" s="93"/>
      <c r="X29" s="93"/>
      <c r="Y29" s="93"/>
      <c r="Z29" s="93"/>
    </row>
    <row r="30" spans="1:26" x14ac:dyDescent="0.2">
      <c r="B30" t="s">
        <v>316</v>
      </c>
      <c r="C30" s="93">
        <f>-18750*0.25</f>
        <v>-4687.5</v>
      </c>
      <c r="D30" s="93"/>
      <c r="E30" s="93" t="s">
        <v>317</v>
      </c>
      <c r="F30" s="93"/>
      <c r="G30" s="93">
        <f>C292</f>
        <v>2265.625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3"/>
      <c r="U30" s="93"/>
      <c r="V30" s="93"/>
      <c r="W30" s="93"/>
      <c r="X30" s="93"/>
      <c r="Y30" s="93"/>
      <c r="Z30" s="93"/>
    </row>
    <row r="31" spans="1:26" ht="15" x14ac:dyDescent="0.25">
      <c r="C31" s="93"/>
      <c r="D31" s="93"/>
      <c r="E31" s="93"/>
      <c r="F31" s="93"/>
      <c r="G31" s="93"/>
      <c r="H31" s="94"/>
      <c r="I31" s="96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3"/>
      <c r="U31" s="93"/>
      <c r="V31" s="93"/>
      <c r="W31" s="93"/>
      <c r="X31" s="93"/>
      <c r="Y31" s="93"/>
      <c r="Z31" s="93"/>
    </row>
    <row r="32" spans="1:26" ht="15.75" thickBot="1" x14ac:dyDescent="0.3">
      <c r="A32" t="s">
        <v>318</v>
      </c>
      <c r="B32" t="s">
        <v>307</v>
      </c>
      <c r="C32" s="95">
        <f>SUM(C16:C30)</f>
        <v>356500.35606060602</v>
      </c>
      <c r="D32" s="93"/>
      <c r="E32" s="93"/>
      <c r="F32" s="93"/>
      <c r="G32" s="95">
        <f>SUM(G16:G31)</f>
        <v>-19484.375</v>
      </c>
      <c r="H32" s="94"/>
      <c r="I32" s="96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3"/>
      <c r="U32" s="93"/>
      <c r="V32" s="93"/>
      <c r="W32" s="93"/>
      <c r="X32" s="93"/>
      <c r="Y32" s="93"/>
      <c r="Z32" s="93"/>
    </row>
    <row r="33" spans="2:26" x14ac:dyDescent="0.2">
      <c r="C33" s="93"/>
      <c r="D33" s="93"/>
      <c r="E33" s="93" t="s">
        <v>319</v>
      </c>
      <c r="F33" s="93"/>
      <c r="G33" s="93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3"/>
      <c r="U33" s="93"/>
      <c r="V33" s="93"/>
      <c r="W33" s="93"/>
      <c r="X33" s="93"/>
      <c r="Y33" s="93"/>
      <c r="Z33" s="93"/>
    </row>
    <row r="34" spans="2:26" x14ac:dyDescent="0.2">
      <c r="B34" t="s">
        <v>320</v>
      </c>
      <c r="C34" s="93">
        <f>107500*0.25</f>
        <v>26875</v>
      </c>
      <c r="D34" s="93"/>
      <c r="E34" s="93"/>
      <c r="F34" s="93"/>
      <c r="G34" s="93">
        <v>-10875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3"/>
      <c r="U34" s="93"/>
      <c r="V34" s="93"/>
      <c r="W34" s="93"/>
      <c r="X34" s="93"/>
      <c r="Y34" s="93"/>
      <c r="Z34" s="93"/>
    </row>
    <row r="35" spans="2:26" x14ac:dyDescent="0.2">
      <c r="C35" s="93"/>
      <c r="D35" s="93"/>
      <c r="E35" s="93" t="s">
        <v>321</v>
      </c>
      <c r="F35" s="93"/>
      <c r="G35" s="93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3"/>
      <c r="U35" s="93"/>
      <c r="V35" s="93"/>
      <c r="W35" s="93"/>
      <c r="X35" s="93"/>
      <c r="Y35" s="93"/>
      <c r="Z35" s="93"/>
    </row>
    <row r="36" spans="2:26" x14ac:dyDescent="0.2">
      <c r="B36" t="s">
        <v>300</v>
      </c>
      <c r="C36" s="93">
        <f>-20000*1/6</f>
        <v>-3333.3333333333335</v>
      </c>
      <c r="E36" s="93"/>
      <c r="F36" s="93"/>
      <c r="G36" s="93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3"/>
      <c r="U36" s="93"/>
      <c r="V36" s="93"/>
      <c r="W36" s="93"/>
      <c r="X36" s="93"/>
      <c r="Y36" s="93"/>
      <c r="Z36" s="93"/>
    </row>
    <row r="37" spans="2:26" x14ac:dyDescent="0.2">
      <c r="C37" s="93"/>
      <c r="D37" s="93"/>
      <c r="E37" s="93" t="s">
        <v>301</v>
      </c>
      <c r="F37" s="93"/>
      <c r="G37" s="93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3"/>
      <c r="U37" s="93"/>
      <c r="V37" s="93"/>
      <c r="W37" s="93"/>
      <c r="X37" s="93"/>
      <c r="Y37" s="93"/>
      <c r="Z37" s="93"/>
    </row>
    <row r="38" spans="2:26" x14ac:dyDescent="0.2">
      <c r="B38" t="s">
        <v>522</v>
      </c>
      <c r="C38" s="93">
        <f>-12500/11</f>
        <v>-1136.3636363636363</v>
      </c>
      <c r="D38" s="93"/>
      <c r="E38" s="93"/>
      <c r="F38" s="93"/>
      <c r="G38" s="93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3"/>
      <c r="U38" s="93"/>
      <c r="V38" s="93"/>
      <c r="W38" s="93"/>
      <c r="X38" s="93"/>
      <c r="Y38" s="93"/>
      <c r="Z38" s="93"/>
    </row>
    <row r="39" spans="2:26" x14ac:dyDescent="0.2">
      <c r="C39" s="93"/>
      <c r="D39" s="93"/>
      <c r="E39" s="93"/>
      <c r="F39" s="93"/>
      <c r="G39" s="93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3"/>
      <c r="U39" s="93"/>
      <c r="V39" s="93"/>
      <c r="W39" s="93"/>
      <c r="X39" s="93"/>
      <c r="Y39" s="93"/>
      <c r="Z39" s="93"/>
    </row>
    <row r="40" spans="2:26" x14ac:dyDescent="0.2">
      <c r="B40" t="s">
        <v>322</v>
      </c>
      <c r="C40" s="93">
        <f>-B90</f>
        <v>2500</v>
      </c>
      <c r="D40" s="93"/>
      <c r="E40" s="93"/>
      <c r="F40" s="93"/>
      <c r="G40" s="93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3"/>
      <c r="U40" s="93"/>
      <c r="V40" s="93"/>
      <c r="W40" s="93"/>
      <c r="X40" s="93"/>
      <c r="Y40" s="93"/>
      <c r="Z40" s="93"/>
    </row>
    <row r="41" spans="2:26" x14ac:dyDescent="0.2">
      <c r="C41" s="93"/>
      <c r="D41" s="93"/>
      <c r="E41" s="93"/>
      <c r="F41" s="93"/>
      <c r="G41" s="93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3"/>
      <c r="U41" s="93"/>
      <c r="V41" s="93"/>
      <c r="W41" s="93"/>
      <c r="X41" s="93"/>
      <c r="Y41" s="93"/>
      <c r="Z41" s="93"/>
    </row>
    <row r="42" spans="2:26" x14ac:dyDescent="0.2">
      <c r="B42" t="s">
        <v>323</v>
      </c>
      <c r="C42" s="93">
        <f>-B92</f>
        <v>2752.7612574341474</v>
      </c>
      <c r="E42" s="93"/>
      <c r="F42" s="93"/>
      <c r="G42" s="93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3"/>
      <c r="U42" s="93"/>
      <c r="V42" s="93"/>
      <c r="W42" s="93"/>
      <c r="X42" s="93"/>
      <c r="Y42" s="93"/>
      <c r="Z42" s="93"/>
    </row>
    <row r="43" spans="2:26" x14ac:dyDescent="0.2">
      <c r="C43" s="93"/>
      <c r="D43" s="93"/>
      <c r="E43" s="93"/>
      <c r="F43" s="93"/>
      <c r="G43" s="93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3"/>
      <c r="U43" s="93"/>
      <c r="V43" s="93"/>
      <c r="W43" s="93"/>
      <c r="X43" s="93"/>
      <c r="Y43" s="93"/>
      <c r="Z43" s="93"/>
    </row>
    <row r="44" spans="2:26" x14ac:dyDescent="0.2">
      <c r="B44" t="s">
        <v>324</v>
      </c>
      <c r="C44" s="93">
        <f>-B80</f>
        <v>-1818.1818181818235</v>
      </c>
      <c r="D44" s="93"/>
      <c r="E44" s="93"/>
      <c r="F44" s="93"/>
      <c r="G44" s="93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3"/>
      <c r="U44" s="93"/>
      <c r="V44" s="93"/>
      <c r="W44" s="93"/>
      <c r="X44" s="93"/>
      <c r="Y44" s="93"/>
      <c r="Z44" s="93"/>
    </row>
    <row r="45" spans="2:26" x14ac:dyDescent="0.2">
      <c r="C45" s="93"/>
      <c r="D45" s="93"/>
      <c r="E45" s="93"/>
      <c r="F45" s="93"/>
      <c r="G45" s="93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3"/>
      <c r="U45" s="93"/>
      <c r="V45" s="93"/>
      <c r="W45" s="93"/>
      <c r="X45" s="93"/>
      <c r="Y45" s="93"/>
      <c r="Z45" s="93"/>
    </row>
    <row r="46" spans="2:26" x14ac:dyDescent="0.2">
      <c r="B46" t="s">
        <v>325</v>
      </c>
      <c r="C46" s="93">
        <f>-37500*0.25</f>
        <v>-9375</v>
      </c>
      <c r="D46" s="93"/>
      <c r="E46" s="93" t="s">
        <v>326</v>
      </c>
      <c r="F46" s="93"/>
      <c r="G46" s="93">
        <f>C331</f>
        <v>4531.25</v>
      </c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3"/>
      <c r="U46" s="93"/>
      <c r="V46" s="93"/>
      <c r="W46" s="93"/>
      <c r="X46" s="93"/>
      <c r="Y46" s="93"/>
      <c r="Z46" s="93"/>
    </row>
    <row r="47" spans="2:26" x14ac:dyDescent="0.2">
      <c r="C47" s="93"/>
      <c r="D47" s="93"/>
      <c r="E47" s="93"/>
      <c r="F47" s="93"/>
      <c r="G47" s="93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3"/>
      <c r="U47" s="93"/>
      <c r="V47" s="93"/>
      <c r="W47" s="93"/>
      <c r="X47" s="93"/>
      <c r="Y47" s="93"/>
      <c r="Z47" s="93"/>
    </row>
    <row r="48" spans="2:26" x14ac:dyDescent="0.2">
      <c r="C48" s="93"/>
      <c r="D48" s="93"/>
      <c r="E48" s="93"/>
      <c r="F48" s="93"/>
      <c r="G48" s="93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3"/>
      <c r="U48" s="93"/>
      <c r="V48" s="93"/>
      <c r="W48" s="93"/>
      <c r="X48" s="93"/>
      <c r="Y48" s="93"/>
      <c r="Z48" s="93"/>
    </row>
    <row r="49" spans="1:26" ht="15" thickBot="1" x14ac:dyDescent="0.25">
      <c r="A49" t="s">
        <v>327</v>
      </c>
      <c r="B49" t="s">
        <v>307</v>
      </c>
      <c r="C49" s="95">
        <f>SUM(C32:C47)</f>
        <v>372965.23853016138</v>
      </c>
      <c r="D49" s="93"/>
      <c r="E49" s="93"/>
      <c r="F49" s="93"/>
      <c r="G49" s="95">
        <f>SUM(G32:G47)</f>
        <v>-25828.125</v>
      </c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3"/>
      <c r="U49" s="93"/>
      <c r="V49" s="93"/>
      <c r="W49" s="93"/>
      <c r="X49" s="93"/>
      <c r="Y49" s="93"/>
      <c r="Z49" s="93"/>
    </row>
    <row r="50" spans="1:26" ht="15" x14ac:dyDescent="0.25">
      <c r="C50" s="93"/>
      <c r="D50" s="93"/>
      <c r="E50" s="93"/>
      <c r="F50" s="93"/>
      <c r="G50" s="93"/>
      <c r="H50" s="94"/>
      <c r="I50" s="96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3"/>
      <c r="U50" s="93"/>
      <c r="V50" s="93"/>
      <c r="W50" s="93"/>
      <c r="X50" s="93"/>
      <c r="Y50" s="93"/>
      <c r="Z50" s="93"/>
    </row>
    <row r="51" spans="1:26" ht="15" x14ac:dyDescent="0.25">
      <c r="C51" s="93"/>
      <c r="D51" s="93"/>
      <c r="E51" s="93"/>
      <c r="F51" s="93"/>
      <c r="G51" s="93"/>
      <c r="H51" s="94"/>
      <c r="I51" s="96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3"/>
      <c r="U51" s="93"/>
      <c r="V51" s="93"/>
      <c r="W51" s="93"/>
      <c r="X51" s="93"/>
      <c r="Y51" s="93"/>
      <c r="Z51" s="93"/>
    </row>
    <row r="52" spans="1:26" x14ac:dyDescent="0.2">
      <c r="C52" s="93"/>
      <c r="D52" s="93"/>
      <c r="E52" s="93"/>
      <c r="F52" s="93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3"/>
      <c r="U52" s="93"/>
      <c r="V52" s="93"/>
      <c r="W52" s="93"/>
      <c r="X52" s="93"/>
      <c r="Y52" s="93"/>
      <c r="Z52" s="93"/>
    </row>
    <row r="53" spans="1:26" ht="15" x14ac:dyDescent="0.25">
      <c r="A53" s="92" t="s">
        <v>328</v>
      </c>
      <c r="C53" s="93"/>
      <c r="D53" s="93"/>
      <c r="E53" s="93"/>
      <c r="F53" s="93"/>
      <c r="G53" s="93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3"/>
      <c r="U53" s="93"/>
      <c r="V53" s="93"/>
      <c r="W53" s="93"/>
      <c r="X53" s="93"/>
      <c r="Y53" s="93"/>
      <c r="Z53" s="93"/>
    </row>
    <row r="54" spans="1:26" x14ac:dyDescent="0.2">
      <c r="C54" s="93"/>
      <c r="D54" s="93" t="s">
        <v>329</v>
      </c>
      <c r="E54" s="93"/>
      <c r="F54" s="93"/>
      <c r="G54" s="93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3"/>
      <c r="U54" s="93"/>
      <c r="V54" s="93"/>
      <c r="W54" s="93"/>
      <c r="X54" s="93"/>
      <c r="Y54" s="93"/>
      <c r="Z54" s="93"/>
    </row>
    <row r="55" spans="1:26" x14ac:dyDescent="0.2">
      <c r="A55" t="s">
        <v>330</v>
      </c>
      <c r="B55" s="93">
        <f>0.25*620000</f>
        <v>155000</v>
      </c>
      <c r="C55" s="93"/>
      <c r="D55" s="93"/>
      <c r="E55" s="93"/>
      <c r="F55" s="93"/>
      <c r="G55" s="93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3"/>
      <c r="U55" s="93"/>
      <c r="V55" s="93"/>
      <c r="W55" s="93"/>
      <c r="X55" s="93"/>
      <c r="Y55" s="93"/>
      <c r="Z55" s="93"/>
    </row>
    <row r="56" spans="1:26" x14ac:dyDescent="0.2">
      <c r="B56" s="93"/>
      <c r="C56" s="93"/>
      <c r="D56" s="93" t="s">
        <v>331</v>
      </c>
      <c r="E56" s="93"/>
      <c r="F56" s="93"/>
      <c r="G56" s="93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3"/>
      <c r="U56" s="93"/>
      <c r="V56" s="93"/>
      <c r="W56" s="93"/>
      <c r="X56" s="93"/>
      <c r="Y56" s="93"/>
      <c r="Z56" s="93"/>
    </row>
    <row r="57" spans="1:26" x14ac:dyDescent="0.2">
      <c r="A57" t="s">
        <v>332</v>
      </c>
      <c r="B57" s="93">
        <f>C229*0.25</f>
        <v>3471.0743801652861</v>
      </c>
      <c r="C57" s="93"/>
      <c r="D57" s="93"/>
      <c r="E57" s="93"/>
      <c r="F57" s="93"/>
      <c r="G57" s="93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3"/>
      <c r="U57" s="93"/>
      <c r="V57" s="93"/>
      <c r="W57" s="93"/>
      <c r="X57" s="93"/>
      <c r="Y57" s="93"/>
      <c r="Z57" s="93"/>
    </row>
    <row r="58" spans="1:26" ht="15" thickBot="1" x14ac:dyDescent="0.25">
      <c r="B58" s="95">
        <f>SUM(B55:B57)</f>
        <v>158471.07438016529</v>
      </c>
      <c r="C58" s="93"/>
      <c r="D58" s="93"/>
      <c r="E58" s="93"/>
      <c r="F58" s="93"/>
      <c r="G58" s="93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3"/>
      <c r="U58" s="93"/>
      <c r="V58" s="93"/>
      <c r="W58" s="93"/>
      <c r="X58" s="93"/>
      <c r="Y58" s="93"/>
      <c r="Z58" s="93"/>
    </row>
    <row r="59" spans="1:26" x14ac:dyDescent="0.2">
      <c r="B59" s="93"/>
      <c r="C59" s="93"/>
      <c r="D59" s="93"/>
      <c r="E59" s="93"/>
      <c r="F59" s="93"/>
      <c r="G59" s="93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3"/>
      <c r="U59" s="93"/>
      <c r="V59" s="93"/>
      <c r="W59" s="93"/>
      <c r="X59" s="93"/>
      <c r="Y59" s="93"/>
      <c r="Z59" s="93"/>
    </row>
    <row r="60" spans="1:26" x14ac:dyDescent="0.2">
      <c r="A60" s="4" t="s">
        <v>333</v>
      </c>
      <c r="B60" s="93"/>
      <c r="C60" s="93"/>
      <c r="D60" s="93"/>
      <c r="E60" s="93"/>
      <c r="F60" s="93"/>
      <c r="G60" s="93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3"/>
      <c r="U60" s="93"/>
      <c r="V60" s="93"/>
      <c r="W60" s="93"/>
      <c r="X60" s="93"/>
      <c r="Y60" s="93"/>
      <c r="Z60" s="93"/>
    </row>
    <row r="61" spans="1:26" x14ac:dyDescent="0.2">
      <c r="B61" s="93"/>
      <c r="C61" s="93" t="s">
        <v>299</v>
      </c>
      <c r="E61" s="93"/>
      <c r="F61" s="93"/>
      <c r="G61" s="93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3"/>
      <c r="U61" s="93"/>
      <c r="V61" s="93"/>
      <c r="W61" s="93"/>
      <c r="X61" s="93"/>
      <c r="Y61" s="93"/>
      <c r="Z61" s="93"/>
    </row>
    <row r="62" spans="1:26" x14ac:dyDescent="0.2">
      <c r="A62" t="s">
        <v>334</v>
      </c>
      <c r="B62" s="93">
        <f>D153*3/6</f>
        <v>10000</v>
      </c>
      <c r="C62" s="93"/>
      <c r="D62" s="93"/>
      <c r="E62" s="93"/>
      <c r="F62" s="93"/>
      <c r="G62" s="93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3"/>
      <c r="U62" s="93"/>
      <c r="V62" s="93"/>
      <c r="W62" s="93"/>
      <c r="X62" s="93"/>
      <c r="Y62" s="93"/>
      <c r="Z62" s="93"/>
    </row>
    <row r="63" spans="1:26" x14ac:dyDescent="0.2">
      <c r="B63" s="93"/>
      <c r="C63" s="93" t="s">
        <v>335</v>
      </c>
      <c r="D63" s="93"/>
      <c r="E63" s="93"/>
      <c r="F63" s="93"/>
      <c r="G63" s="93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3"/>
      <c r="U63" s="93"/>
      <c r="V63" s="93"/>
      <c r="W63" s="93"/>
      <c r="X63" s="93"/>
      <c r="Y63" s="93"/>
      <c r="Z63" s="93"/>
    </row>
    <row r="64" spans="1:26" x14ac:dyDescent="0.2">
      <c r="A64" t="s">
        <v>362</v>
      </c>
      <c r="B64" s="93">
        <f>D155*10/11</f>
        <v>11363.636363636364</v>
      </c>
      <c r="C64" s="93"/>
      <c r="D64" s="93"/>
      <c r="E64" s="93"/>
      <c r="F64" s="93"/>
      <c r="G64" s="93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3"/>
      <c r="U64" s="93"/>
      <c r="V64" s="93"/>
      <c r="W64" s="93"/>
      <c r="X64" s="93"/>
      <c r="Y64" s="93"/>
      <c r="Z64" s="93"/>
    </row>
    <row r="65" spans="1:26" x14ac:dyDescent="0.2">
      <c r="B65" s="93"/>
      <c r="C65" s="93"/>
      <c r="D65" s="93"/>
      <c r="E65" s="93"/>
      <c r="F65" s="93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3"/>
      <c r="U65" s="93"/>
      <c r="V65" s="93"/>
      <c r="W65" s="93"/>
      <c r="X65" s="93"/>
      <c r="Y65" s="93"/>
      <c r="Z65" s="93"/>
    </row>
    <row r="66" spans="1:26" x14ac:dyDescent="0.2">
      <c r="A66" t="s">
        <v>336</v>
      </c>
      <c r="B66" s="93">
        <f>D157</f>
        <v>-22500</v>
      </c>
      <c r="C66" s="93"/>
      <c r="D66" s="93"/>
      <c r="E66" s="93"/>
      <c r="F66" s="93"/>
      <c r="G66" s="93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3"/>
      <c r="U66" s="93"/>
      <c r="V66" s="93"/>
      <c r="W66" s="93"/>
      <c r="X66" s="93"/>
      <c r="Y66" s="93"/>
      <c r="Z66" s="93"/>
    </row>
    <row r="67" spans="1:26" x14ac:dyDescent="0.2">
      <c r="B67" s="93"/>
      <c r="C67" s="93" t="s">
        <v>337</v>
      </c>
      <c r="D67" s="93"/>
      <c r="E67" s="93"/>
      <c r="F67" s="93"/>
      <c r="G67" s="93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3"/>
      <c r="U67" s="93"/>
      <c r="V67" s="93"/>
      <c r="W67" s="93"/>
      <c r="X67" s="93"/>
      <c r="Y67" s="93"/>
      <c r="Z67" s="93"/>
    </row>
    <row r="68" spans="1:26" x14ac:dyDescent="0.2">
      <c r="A68" t="s">
        <v>7</v>
      </c>
      <c r="B68" s="93">
        <f>-0.25*C220</f>
        <v>-5279.0925476908305</v>
      </c>
      <c r="C68" s="93"/>
      <c r="D68" s="93"/>
      <c r="E68" s="93"/>
      <c r="F68" s="93"/>
      <c r="G68" s="93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3"/>
      <c r="U68" s="93"/>
      <c r="V68" s="93"/>
      <c r="W68" s="93"/>
      <c r="X68" s="93"/>
      <c r="Y68" s="93"/>
      <c r="Z68" s="93"/>
    </row>
    <row r="69" spans="1:26" x14ac:dyDescent="0.2">
      <c r="B69" s="93"/>
      <c r="C69" s="93"/>
      <c r="D69" s="93"/>
      <c r="E69" s="93"/>
      <c r="F69" s="93"/>
      <c r="G69" s="93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3"/>
      <c r="U69" s="93"/>
      <c r="V69" s="93"/>
      <c r="W69" s="93"/>
      <c r="X69" s="93"/>
      <c r="Y69" s="93"/>
      <c r="Z69" s="93"/>
    </row>
    <row r="70" spans="1:26" x14ac:dyDescent="0.2">
      <c r="A70" t="s">
        <v>67</v>
      </c>
      <c r="B70" s="93">
        <f>D161</f>
        <v>167624.3160444164</v>
      </c>
      <c r="C70" s="93"/>
      <c r="D70" s="93"/>
      <c r="E70" s="93"/>
      <c r="F70" s="93"/>
      <c r="G70" s="93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3"/>
      <c r="U70" s="93"/>
      <c r="V70" s="93"/>
      <c r="W70" s="93"/>
      <c r="X70" s="93"/>
      <c r="Y70" s="93"/>
      <c r="Z70" s="93"/>
    </row>
    <row r="71" spans="1:26" ht="15" thickBot="1" x14ac:dyDescent="0.25">
      <c r="B71" s="95">
        <f>SUM(B62:B70)</f>
        <v>161208.85986036193</v>
      </c>
      <c r="C71" s="93"/>
      <c r="D71" s="93"/>
      <c r="E71" s="93"/>
      <c r="F71" s="93"/>
      <c r="G71" s="93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3"/>
      <c r="U71" s="93"/>
      <c r="V71" s="93"/>
      <c r="W71" s="93"/>
      <c r="X71" s="93"/>
      <c r="Y71" s="93"/>
      <c r="Z71" s="93"/>
    </row>
    <row r="72" spans="1:26" x14ac:dyDescent="0.2">
      <c r="B72" s="93"/>
      <c r="C72" s="93"/>
      <c r="D72" s="93"/>
      <c r="E72" s="93"/>
      <c r="F72" s="93"/>
      <c r="G72" s="93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3"/>
      <c r="U72" s="93"/>
      <c r="V72" s="93"/>
      <c r="W72" s="93"/>
      <c r="X72" s="93"/>
      <c r="Y72" s="93"/>
      <c r="Z72" s="93"/>
    </row>
    <row r="73" spans="1:26" ht="15" thickBot="1" x14ac:dyDescent="0.25">
      <c r="A73" t="s">
        <v>68</v>
      </c>
      <c r="B73" s="95">
        <f>B71+B58</f>
        <v>319679.93424052722</v>
      </c>
      <c r="C73" s="93">
        <f>B73-C16</f>
        <v>4.7876890865154564E-2</v>
      </c>
      <c r="D73" s="93"/>
      <c r="E73" s="93"/>
      <c r="F73" s="93"/>
      <c r="G73" s="93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3"/>
      <c r="U73" s="93"/>
      <c r="V73" s="93"/>
      <c r="W73" s="93"/>
      <c r="X73" s="93"/>
      <c r="Y73" s="93"/>
      <c r="Z73" s="93"/>
    </row>
    <row r="74" spans="1:26" x14ac:dyDescent="0.2">
      <c r="B74" s="93"/>
      <c r="C74" s="93"/>
      <c r="D74" s="93"/>
      <c r="E74" s="93"/>
      <c r="F74" s="93"/>
      <c r="G74" s="93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3"/>
      <c r="U74" s="93"/>
      <c r="V74" s="93"/>
      <c r="W74" s="93"/>
      <c r="X74" s="93"/>
      <c r="Y74" s="93"/>
      <c r="Z74" s="93"/>
    </row>
    <row r="75" spans="1:26" x14ac:dyDescent="0.2">
      <c r="B75" s="93"/>
      <c r="C75" s="93"/>
      <c r="D75" s="93"/>
      <c r="E75" s="93"/>
      <c r="F75" s="93"/>
      <c r="G75" s="93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3"/>
      <c r="U75" s="93"/>
      <c r="V75" s="93"/>
      <c r="W75" s="93"/>
      <c r="X75" s="93"/>
      <c r="Y75" s="93"/>
      <c r="Z75" s="93"/>
    </row>
    <row r="76" spans="1:26" ht="15" x14ac:dyDescent="0.25">
      <c r="A76" s="92" t="s">
        <v>338</v>
      </c>
      <c r="C76" s="93"/>
      <c r="D76" s="93"/>
      <c r="E76" s="93"/>
      <c r="F76" s="93"/>
      <c r="G76" s="93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3"/>
      <c r="U76" s="93"/>
      <c r="V76" s="93"/>
      <c r="W76" s="93"/>
      <c r="X76" s="93"/>
      <c r="Y76" s="93"/>
      <c r="Z76" s="93"/>
    </row>
    <row r="77" spans="1:26" x14ac:dyDescent="0.2">
      <c r="C77" s="93"/>
      <c r="D77" s="93" t="s">
        <v>339</v>
      </c>
      <c r="E77" s="93"/>
      <c r="F77" s="93"/>
      <c r="G77" s="93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3"/>
      <c r="U77" s="93"/>
      <c r="V77" s="93"/>
      <c r="W77" s="93"/>
      <c r="X77" s="93"/>
      <c r="Y77" s="93"/>
      <c r="Z77" s="93"/>
    </row>
    <row r="78" spans="1:26" x14ac:dyDescent="0.2">
      <c r="A78" t="s">
        <v>330</v>
      </c>
      <c r="B78" s="93">
        <f>0.25*(620000+113750-18750)</f>
        <v>178750</v>
      </c>
      <c r="C78" s="93"/>
      <c r="D78" s="93"/>
      <c r="E78" s="93"/>
      <c r="F78" s="93"/>
      <c r="G78" s="93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3"/>
      <c r="U78" s="93"/>
      <c r="V78" s="93"/>
      <c r="W78" s="93"/>
      <c r="X78" s="93"/>
      <c r="Y78" s="93"/>
      <c r="Z78" s="93"/>
    </row>
    <row r="79" spans="1:26" x14ac:dyDescent="0.2">
      <c r="B79" s="93"/>
      <c r="C79" s="93"/>
      <c r="D79" s="93" t="s">
        <v>340</v>
      </c>
      <c r="E79" s="93"/>
      <c r="F79" s="93"/>
      <c r="G79" s="93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3"/>
      <c r="U79" s="93"/>
      <c r="V79" s="93"/>
      <c r="W79" s="93"/>
      <c r="X79" s="93"/>
      <c r="Y79" s="93"/>
      <c r="Z79" s="93"/>
    </row>
    <row r="80" spans="1:26" x14ac:dyDescent="0.2">
      <c r="A80" t="s">
        <v>332</v>
      </c>
      <c r="B80" s="93">
        <f>C282*0.25</f>
        <v>1818.1818181818235</v>
      </c>
      <c r="C80" s="93"/>
      <c r="D80" s="93"/>
      <c r="E80" s="93"/>
      <c r="F80" s="93"/>
      <c r="G80" s="93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3"/>
      <c r="U80" s="93"/>
      <c r="V80" s="93"/>
      <c r="W80" s="93"/>
      <c r="X80" s="93"/>
      <c r="Y80" s="93"/>
      <c r="Z80" s="93"/>
    </row>
    <row r="81" spans="1:26" x14ac:dyDescent="0.2">
      <c r="B81" s="93"/>
      <c r="C81" s="93"/>
      <c r="D81" s="93"/>
      <c r="E81" s="93"/>
      <c r="F81" s="93"/>
      <c r="G81" s="93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3"/>
      <c r="U81" s="93"/>
      <c r="V81" s="93"/>
      <c r="W81" s="93"/>
      <c r="X81" s="93"/>
      <c r="Y81" s="93"/>
      <c r="Z81" s="93"/>
    </row>
    <row r="82" spans="1:26" ht="12.75" customHeight="1" thickBot="1" x14ac:dyDescent="0.25">
      <c r="B82" s="95">
        <f>SUM(B78:B80)</f>
        <v>180568.18181818182</v>
      </c>
      <c r="C82" s="93"/>
      <c r="D82" s="93"/>
      <c r="E82" s="93"/>
      <c r="F82" s="93"/>
      <c r="G82" s="93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3"/>
      <c r="U82" s="93"/>
      <c r="V82" s="93"/>
      <c r="W82" s="93"/>
      <c r="X82" s="93"/>
      <c r="Y82" s="93"/>
      <c r="Z82" s="93"/>
    </row>
    <row r="83" spans="1:26" ht="12.75" customHeight="1" x14ac:dyDescent="0.2">
      <c r="B83" s="93"/>
      <c r="C83" s="93"/>
      <c r="D83" s="93"/>
      <c r="E83" s="93"/>
      <c r="F83" s="93"/>
      <c r="G83" s="93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3"/>
      <c r="U83" s="93"/>
      <c r="V83" s="93"/>
      <c r="W83" s="93"/>
      <c r="X83" s="93"/>
      <c r="Y83" s="93"/>
      <c r="Z83" s="93"/>
    </row>
    <row r="84" spans="1:26" x14ac:dyDescent="0.2">
      <c r="A84" s="4" t="s">
        <v>333</v>
      </c>
      <c r="B84" s="93"/>
      <c r="C84" s="93"/>
      <c r="D84" s="93"/>
      <c r="E84" s="93"/>
      <c r="F84" s="93"/>
      <c r="G84" s="93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3"/>
      <c r="U84" s="93"/>
      <c r="V84" s="93"/>
      <c r="W84" s="93"/>
      <c r="X84" s="93"/>
      <c r="Y84" s="93"/>
      <c r="Z84" s="93"/>
    </row>
    <row r="85" spans="1:26" x14ac:dyDescent="0.2">
      <c r="B85" s="93"/>
      <c r="C85" s="93" t="s">
        <v>321</v>
      </c>
      <c r="E85" s="93"/>
      <c r="F85" s="93"/>
      <c r="G85" s="93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3"/>
      <c r="U85" s="93"/>
      <c r="V85" s="93"/>
      <c r="W85" s="93"/>
      <c r="X85" s="93"/>
      <c r="Y85" s="93"/>
      <c r="Z85" s="93"/>
    </row>
    <row r="86" spans="1:26" x14ac:dyDescent="0.2">
      <c r="A86" t="s">
        <v>334</v>
      </c>
      <c r="B86" s="93">
        <f>D153*1/6</f>
        <v>3333.3333333333335</v>
      </c>
      <c r="C86" s="93"/>
      <c r="D86" s="93"/>
      <c r="E86" s="93"/>
      <c r="F86" s="93"/>
      <c r="G86" s="93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3"/>
      <c r="U86" s="93"/>
      <c r="V86" s="93"/>
      <c r="W86" s="93"/>
      <c r="X86" s="93"/>
      <c r="Y86" s="93"/>
      <c r="Z86" s="93"/>
    </row>
    <row r="87" spans="1:26" x14ac:dyDescent="0.2">
      <c r="B87" s="93"/>
      <c r="C87" s="93" t="s">
        <v>341</v>
      </c>
      <c r="D87" s="93"/>
      <c r="E87" s="93"/>
      <c r="F87" s="93"/>
      <c r="G87" s="93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3"/>
      <c r="U87" s="93"/>
      <c r="V87" s="93"/>
      <c r="W87" s="93"/>
      <c r="X87" s="93"/>
      <c r="Y87" s="93"/>
      <c r="Z87" s="93"/>
    </row>
    <row r="88" spans="1:26" x14ac:dyDescent="0.2">
      <c r="A88" t="s">
        <v>362</v>
      </c>
      <c r="B88" s="93">
        <f>D155*9/11</f>
        <v>10227.272727272728</v>
      </c>
      <c r="C88" s="93"/>
      <c r="D88" s="93"/>
      <c r="E88" s="93"/>
      <c r="F88" s="93"/>
      <c r="G88" s="93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3"/>
      <c r="U88" s="93"/>
      <c r="V88" s="93"/>
      <c r="W88" s="93"/>
      <c r="X88" s="93"/>
      <c r="Y88" s="93"/>
      <c r="Z88" s="93"/>
    </row>
    <row r="89" spans="1:26" x14ac:dyDescent="0.2">
      <c r="B89" s="93"/>
      <c r="C89" s="93"/>
      <c r="D89" s="93"/>
      <c r="E89" s="93"/>
      <c r="F89" s="93"/>
      <c r="G89" s="93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3"/>
      <c r="U89" s="93"/>
      <c r="V89" s="93"/>
      <c r="W89" s="93"/>
      <c r="X89" s="93"/>
      <c r="Y89" s="93"/>
      <c r="Z89" s="93"/>
    </row>
    <row r="90" spans="1:26" x14ac:dyDescent="0.2">
      <c r="A90" t="s">
        <v>336</v>
      </c>
      <c r="B90" s="93">
        <f>C259</f>
        <v>-2500</v>
      </c>
      <c r="C90" s="93"/>
      <c r="D90" s="93"/>
      <c r="E90" s="93"/>
      <c r="F90" s="93"/>
      <c r="G90" s="93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3"/>
      <c r="U90" s="93"/>
      <c r="V90" s="93"/>
      <c r="W90" s="93"/>
      <c r="X90" s="93"/>
      <c r="Y90" s="93"/>
      <c r="Z90" s="93"/>
    </row>
    <row r="91" spans="1:26" x14ac:dyDescent="0.2">
      <c r="B91" s="93"/>
      <c r="C91" s="93" t="s">
        <v>342</v>
      </c>
      <c r="D91" s="93"/>
      <c r="E91" s="93"/>
      <c r="F91" s="93"/>
      <c r="G91" s="93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3"/>
      <c r="U91" s="93"/>
      <c r="V91" s="93"/>
      <c r="W91" s="93"/>
      <c r="X91" s="93"/>
      <c r="Y91" s="93"/>
      <c r="Z91" s="93"/>
    </row>
    <row r="92" spans="1:26" x14ac:dyDescent="0.2">
      <c r="A92" t="s">
        <v>7</v>
      </c>
      <c r="B92" s="93">
        <f>-C273*0.25</f>
        <v>-2752.7612574341474</v>
      </c>
      <c r="C92" s="93"/>
      <c r="D92" s="93"/>
      <c r="E92" s="93"/>
      <c r="F92" s="93"/>
      <c r="G92" s="93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3"/>
      <c r="U92" s="93"/>
      <c r="V92" s="93"/>
      <c r="W92" s="93"/>
      <c r="X92" s="93"/>
      <c r="Y92" s="93"/>
      <c r="Z92" s="93"/>
    </row>
    <row r="93" spans="1:26" x14ac:dyDescent="0.2">
      <c r="B93" s="93"/>
      <c r="C93" s="93"/>
      <c r="D93" s="93"/>
      <c r="E93" s="93"/>
      <c r="F93" s="93"/>
      <c r="G93" s="93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3"/>
      <c r="U93" s="93"/>
      <c r="V93" s="93"/>
      <c r="W93" s="93"/>
      <c r="X93" s="93"/>
      <c r="Y93" s="93"/>
      <c r="Z93" s="93"/>
    </row>
    <row r="94" spans="1:26" x14ac:dyDescent="0.2">
      <c r="A94" t="s">
        <v>67</v>
      </c>
      <c r="B94" s="93">
        <f>B70</f>
        <v>167624.3160444164</v>
      </c>
      <c r="C94" s="93"/>
      <c r="D94" s="93"/>
      <c r="E94" s="93"/>
      <c r="F94" s="93"/>
      <c r="G94" s="93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3"/>
      <c r="U94" s="93"/>
      <c r="V94" s="93"/>
      <c r="W94" s="93"/>
      <c r="X94" s="93"/>
      <c r="Y94" s="93"/>
      <c r="Z94" s="93"/>
    </row>
    <row r="95" spans="1:26" ht="15" thickBot="1" x14ac:dyDescent="0.25">
      <c r="B95" s="95">
        <f>SUM(B86:B94)</f>
        <v>175932.1608475883</v>
      </c>
      <c r="C95" s="93"/>
      <c r="D95" s="93"/>
      <c r="E95" s="93"/>
      <c r="F95" s="93"/>
      <c r="G95" s="93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3"/>
      <c r="U95" s="93"/>
      <c r="V95" s="93"/>
      <c r="W95" s="93"/>
      <c r="X95" s="93"/>
      <c r="Y95" s="93"/>
      <c r="Z95" s="93"/>
    </row>
    <row r="96" spans="1:26" x14ac:dyDescent="0.2">
      <c r="B96" s="93"/>
      <c r="C96" s="93"/>
      <c r="D96" s="93"/>
      <c r="E96" s="93"/>
      <c r="F96" s="93"/>
      <c r="G96" s="93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3"/>
      <c r="U96" s="93"/>
      <c r="V96" s="93"/>
      <c r="W96" s="93"/>
      <c r="X96" s="93"/>
      <c r="Y96" s="93"/>
      <c r="Z96" s="93"/>
    </row>
    <row r="97" spans="1:26" ht="15" thickBot="1" x14ac:dyDescent="0.25">
      <c r="A97" t="s">
        <v>68</v>
      </c>
      <c r="B97" s="95">
        <f>B95+B82</f>
        <v>356500.34266577009</v>
      </c>
      <c r="C97" s="93">
        <f>B97-C32</f>
        <v>-1.3394835928920656E-2</v>
      </c>
      <c r="D97" s="93"/>
      <c r="E97" s="93"/>
      <c r="F97" s="93"/>
      <c r="G97" s="93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3"/>
      <c r="U97" s="93"/>
      <c r="V97" s="93"/>
      <c r="W97" s="93"/>
      <c r="X97" s="93"/>
      <c r="Y97" s="93"/>
      <c r="Z97" s="93"/>
    </row>
    <row r="98" spans="1:26" x14ac:dyDescent="0.2">
      <c r="B98" s="93"/>
      <c r="C98" s="93"/>
      <c r="D98" s="93"/>
      <c r="E98" s="93"/>
      <c r="F98" s="93"/>
      <c r="G98" s="93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3"/>
      <c r="U98" s="93"/>
      <c r="V98" s="93"/>
      <c r="W98" s="93"/>
      <c r="X98" s="93"/>
      <c r="Y98" s="93"/>
      <c r="Z98" s="93"/>
    </row>
    <row r="99" spans="1:26" x14ac:dyDescent="0.2">
      <c r="B99" s="93"/>
      <c r="C99" s="93"/>
      <c r="D99" s="93"/>
      <c r="E99" s="93"/>
      <c r="F99" s="93"/>
      <c r="G99" s="93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3"/>
      <c r="U99" s="93"/>
      <c r="V99" s="93"/>
      <c r="W99" s="93"/>
      <c r="X99" s="93"/>
      <c r="Y99" s="93"/>
      <c r="Z99" s="93"/>
    </row>
    <row r="100" spans="1:26" ht="15" x14ac:dyDescent="0.25">
      <c r="A100" s="92" t="s">
        <v>343</v>
      </c>
      <c r="C100" s="93"/>
      <c r="D100" s="93"/>
      <c r="E100" s="93"/>
      <c r="F100" s="93"/>
      <c r="G100" s="93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3"/>
      <c r="U100" s="93"/>
      <c r="V100" s="93"/>
      <c r="W100" s="93"/>
      <c r="X100" s="93"/>
      <c r="Y100" s="93"/>
      <c r="Z100" s="93"/>
    </row>
    <row r="101" spans="1:26" x14ac:dyDescent="0.2">
      <c r="C101" s="93"/>
      <c r="D101" s="93" t="s">
        <v>344</v>
      </c>
      <c r="E101" s="93"/>
      <c r="F101" s="93"/>
      <c r="G101" s="93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3"/>
      <c r="U101" s="93"/>
      <c r="V101" s="93"/>
      <c r="W101" s="93"/>
      <c r="X101" s="93"/>
      <c r="Y101" s="93"/>
      <c r="Z101" s="93"/>
    </row>
    <row r="102" spans="1:26" x14ac:dyDescent="0.2">
      <c r="A102" t="s">
        <v>330</v>
      </c>
      <c r="B102" s="93">
        <f>0.25*(715000+107500-37500)</f>
        <v>196250</v>
      </c>
      <c r="C102" s="93"/>
      <c r="D102" s="93"/>
      <c r="E102" s="93"/>
      <c r="F102" s="93"/>
      <c r="G102" s="93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3"/>
      <c r="U102" s="93"/>
      <c r="V102" s="93"/>
      <c r="W102" s="93"/>
      <c r="X102" s="93"/>
      <c r="Y102" s="93"/>
      <c r="Z102" s="93"/>
    </row>
    <row r="103" spans="1:26" x14ac:dyDescent="0.2"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3"/>
      <c r="Z103" s="93"/>
    </row>
    <row r="104" spans="1:26" x14ac:dyDescent="0.2">
      <c r="A104" s="4" t="s">
        <v>333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</row>
    <row r="105" spans="1:26" x14ac:dyDescent="0.2"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</row>
    <row r="106" spans="1:26" x14ac:dyDescent="0.2">
      <c r="A106" t="s">
        <v>334</v>
      </c>
      <c r="B106" s="93">
        <v>0</v>
      </c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x14ac:dyDescent="0.2">
      <c r="B107" s="93"/>
      <c r="C107" s="93" t="s">
        <v>345</v>
      </c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x14ac:dyDescent="0.2">
      <c r="A108" t="s">
        <v>362</v>
      </c>
      <c r="B108" s="93">
        <f>D155*8/11</f>
        <v>9090.9090909090901</v>
      </c>
      <c r="C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x14ac:dyDescent="0.2"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x14ac:dyDescent="0.2">
      <c r="A110" t="s">
        <v>336</v>
      </c>
      <c r="B110" s="93">
        <v>0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x14ac:dyDescent="0.2"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x14ac:dyDescent="0.2">
      <c r="A112" t="s">
        <v>7</v>
      </c>
      <c r="B112" s="93">
        <v>0</v>
      </c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x14ac:dyDescent="0.2">
      <c r="B113" s="93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x14ac:dyDescent="0.2">
      <c r="A114" t="s">
        <v>67</v>
      </c>
      <c r="B114" s="93">
        <f>B94</f>
        <v>167624.3160444164</v>
      </c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</row>
    <row r="115" spans="1:26" x14ac:dyDescent="0.2"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</row>
    <row r="116" spans="1:26" x14ac:dyDescent="0.2"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</row>
    <row r="117" spans="1:26" ht="15" thickBot="1" x14ac:dyDescent="0.25">
      <c r="A117" t="s">
        <v>68</v>
      </c>
      <c r="B117" s="95">
        <f>SUM(B106:B116)</f>
        <v>176715.22513532548</v>
      </c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</row>
    <row r="118" spans="1:26" x14ac:dyDescent="0.2"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</row>
    <row r="119" spans="1:26" ht="15" thickBot="1" x14ac:dyDescent="0.25">
      <c r="A119" t="s">
        <v>68</v>
      </c>
      <c r="B119" s="95">
        <f>B102+B117</f>
        <v>372965.22513532545</v>
      </c>
      <c r="C119" s="93">
        <f>B119-C49</f>
        <v>-1.3394835928920656E-2</v>
      </c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</row>
    <row r="120" spans="1:26" x14ac:dyDescent="0.2"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3"/>
      <c r="Z120" s="93"/>
    </row>
    <row r="121" spans="1:26" x14ac:dyDescent="0.2"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</row>
    <row r="122" spans="1:26" x14ac:dyDescent="0.2"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</row>
    <row r="123" spans="1:26" x14ac:dyDescent="0.2"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3"/>
      <c r="Z123" s="93"/>
    </row>
    <row r="124" spans="1:26" x14ac:dyDescent="0.2">
      <c r="A124" s="97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3"/>
      <c r="Z124" s="93"/>
    </row>
    <row r="125" spans="1:26" x14ac:dyDescent="0.2"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3"/>
      <c r="Z125" s="93"/>
    </row>
    <row r="126" spans="1:26" ht="15" x14ac:dyDescent="0.25">
      <c r="A126" s="92" t="s">
        <v>346</v>
      </c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3"/>
      <c r="Z126" s="93"/>
    </row>
    <row r="127" spans="1:26" x14ac:dyDescent="0.2"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</row>
    <row r="128" spans="1:26" x14ac:dyDescent="0.2">
      <c r="A128" s="98" t="s">
        <v>347</v>
      </c>
      <c r="B128" s="99" t="s">
        <v>348</v>
      </c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</row>
    <row r="129" spans="1:26" x14ac:dyDescent="0.2"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</row>
    <row r="130" spans="1:26" ht="15" x14ac:dyDescent="0.25">
      <c r="B130" s="4" t="s">
        <v>349</v>
      </c>
      <c r="C130" s="93"/>
      <c r="D130" s="93"/>
      <c r="E130" s="93"/>
      <c r="F130" s="93"/>
      <c r="G130" s="100" t="s">
        <v>350</v>
      </c>
      <c r="H130" s="101"/>
      <c r="I130" s="101"/>
      <c r="J130" s="102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  <c r="Z130" s="93"/>
    </row>
    <row r="131" spans="1:26" x14ac:dyDescent="0.2">
      <c r="C131" s="93"/>
      <c r="D131" s="93"/>
      <c r="E131" s="93"/>
      <c r="F131" s="93"/>
      <c r="G131" s="103"/>
      <c r="H131" s="93"/>
      <c r="I131" s="93"/>
      <c r="J131" s="104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</row>
    <row r="132" spans="1:26" x14ac:dyDescent="0.2">
      <c r="B132" t="s">
        <v>27</v>
      </c>
      <c r="C132" s="93">
        <v>500000</v>
      </c>
      <c r="D132" s="93"/>
      <c r="E132" s="93"/>
      <c r="F132" s="93"/>
      <c r="G132" s="103"/>
      <c r="H132" s="93"/>
      <c r="I132" s="93"/>
      <c r="J132" s="104" t="s">
        <v>351</v>
      </c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3"/>
      <c r="Z132" s="93"/>
    </row>
    <row r="133" spans="1:26" ht="15" x14ac:dyDescent="0.25">
      <c r="C133" s="93"/>
      <c r="D133" s="93"/>
      <c r="E133" s="93"/>
      <c r="F133" s="93"/>
      <c r="G133" s="105"/>
      <c r="H133" s="106">
        <f>RATE(5,0.08*400000,-400000+30330,400000)</f>
        <v>0.10000257559278848</v>
      </c>
      <c r="I133" s="107"/>
      <c r="J133" s="108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3"/>
      <c r="Z133" s="93"/>
    </row>
    <row r="134" spans="1:26" x14ac:dyDescent="0.2">
      <c r="B134" s="4" t="s">
        <v>352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3"/>
      <c r="Z134" s="93"/>
    </row>
    <row r="135" spans="1:26" x14ac:dyDescent="0.2">
      <c r="B135" s="4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3"/>
      <c r="Z135" s="93"/>
    </row>
    <row r="136" spans="1:26" x14ac:dyDescent="0.2">
      <c r="B136" t="s">
        <v>353</v>
      </c>
      <c r="C136" s="93">
        <v>400000</v>
      </c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3"/>
      <c r="Z136" s="93"/>
    </row>
    <row r="137" spans="1:26" x14ac:dyDescent="0.2">
      <c r="C137" s="93"/>
      <c r="D137" s="93" t="s">
        <v>354</v>
      </c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</row>
    <row r="138" spans="1:26" x14ac:dyDescent="0.2">
      <c r="B138" t="s">
        <v>355</v>
      </c>
      <c r="C138" s="93">
        <f>-PV(10%,3,32000,400000)</f>
        <v>380105.18407212617</v>
      </c>
      <c r="D138" s="93"/>
      <c r="E138" s="93"/>
      <c r="F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</row>
    <row r="139" spans="1:26" x14ac:dyDescent="0.2">
      <c r="C139" s="93"/>
      <c r="D139" s="93"/>
      <c r="E139" s="93"/>
      <c r="F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</row>
    <row r="140" spans="1:26" ht="15" thickBot="1" x14ac:dyDescent="0.25">
      <c r="B140" t="s">
        <v>356</v>
      </c>
      <c r="C140" s="95">
        <f>C132+C136-C138</f>
        <v>519894.81592787383</v>
      </c>
      <c r="D140" s="93"/>
      <c r="E140" s="93"/>
      <c r="F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</row>
    <row r="141" spans="1:26" x14ac:dyDescent="0.2">
      <c r="E141" s="93"/>
      <c r="F141" s="93"/>
      <c r="H141" s="109"/>
      <c r="I141" s="109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</row>
    <row r="142" spans="1:26" x14ac:dyDescent="0.2">
      <c r="A142" s="98"/>
      <c r="C142" s="93"/>
      <c r="D142" s="93"/>
      <c r="E142" s="93"/>
      <c r="F142" s="93"/>
      <c r="G142" s="99"/>
      <c r="H142" s="110"/>
      <c r="I142" s="110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</row>
    <row r="143" spans="1:26" x14ac:dyDescent="0.2">
      <c r="C143" s="93"/>
      <c r="D143" s="93"/>
      <c r="E143" s="93"/>
      <c r="F143" s="93"/>
      <c r="G143" s="93"/>
      <c r="H143" s="110"/>
      <c r="I143" s="110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3"/>
      <c r="Z143" s="93"/>
    </row>
    <row r="144" spans="1:26" x14ac:dyDescent="0.2">
      <c r="B144" t="s">
        <v>0</v>
      </c>
      <c r="C144" s="93"/>
      <c r="D144" s="93">
        <f>C4</f>
        <v>300000</v>
      </c>
      <c r="E144" s="93"/>
      <c r="F144" s="93"/>
      <c r="G144" s="93"/>
      <c r="H144" s="93"/>
      <c r="I144" s="93"/>
      <c r="J144" s="109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3"/>
      <c r="Z144" s="93"/>
    </row>
    <row r="145" spans="2:26" x14ac:dyDescent="0.2">
      <c r="C145" s="93"/>
      <c r="D145" s="93"/>
      <c r="E145" s="93" t="s">
        <v>357</v>
      </c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3"/>
      <c r="Z145" s="93"/>
    </row>
    <row r="146" spans="2:26" x14ac:dyDescent="0.2">
      <c r="B146" t="s">
        <v>358</v>
      </c>
      <c r="C146" s="93"/>
      <c r="D146" s="93">
        <f>-0.25*C140</f>
        <v>-129973.70398196846</v>
      </c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</row>
    <row r="147" spans="2:26" ht="15" x14ac:dyDescent="0.25">
      <c r="C147" s="93"/>
      <c r="D147" s="93"/>
      <c r="E147" s="93"/>
      <c r="F147" s="93"/>
      <c r="G147" s="93"/>
      <c r="H147" s="111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</row>
    <row r="148" spans="2:26" ht="15" thickBot="1" x14ac:dyDescent="0.25">
      <c r="B148" t="s">
        <v>53</v>
      </c>
      <c r="C148" s="93"/>
      <c r="D148" s="95">
        <f>D144+D146</f>
        <v>170026.29601803154</v>
      </c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3"/>
      <c r="Z148" s="93"/>
    </row>
    <row r="149" spans="2:26" x14ac:dyDescent="0.2"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</row>
    <row r="150" spans="2:26" x14ac:dyDescent="0.2"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</row>
    <row r="151" spans="2:26" x14ac:dyDescent="0.2">
      <c r="B151" s="4" t="s">
        <v>359</v>
      </c>
      <c r="C151" s="4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</row>
    <row r="152" spans="2:26" x14ac:dyDescent="0.2">
      <c r="F152" t="s">
        <v>360</v>
      </c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3"/>
      <c r="Z152" s="93"/>
    </row>
    <row r="153" spans="2:26" x14ac:dyDescent="0.2">
      <c r="B153" t="s">
        <v>334</v>
      </c>
      <c r="C153" s="93"/>
      <c r="D153" s="93">
        <f>0.25*(200000-120000)</f>
        <v>20000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3"/>
      <c r="Z153" s="93"/>
    </row>
    <row r="154" spans="2:26" x14ac:dyDescent="0.2">
      <c r="C154" s="93"/>
      <c r="D154" s="93"/>
      <c r="E154" s="93"/>
      <c r="F154" t="s">
        <v>361</v>
      </c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3"/>
      <c r="Z154" s="93"/>
    </row>
    <row r="155" spans="2:26" x14ac:dyDescent="0.2">
      <c r="B155" t="s">
        <v>362</v>
      </c>
      <c r="C155" s="93"/>
      <c r="D155" s="93">
        <f>0.25*(600000-550000)</f>
        <v>12500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</row>
    <row r="156" spans="2:26" x14ac:dyDescent="0.2">
      <c r="C156" s="93"/>
      <c r="D156" s="93"/>
      <c r="E156" s="93"/>
      <c r="F156" t="s">
        <v>363</v>
      </c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</row>
    <row r="157" spans="2:26" x14ac:dyDescent="0.2">
      <c r="B157" t="s">
        <v>336</v>
      </c>
      <c r="C157" s="93"/>
      <c r="D157" s="93">
        <f>0.25*(120000-210000)</f>
        <v>-22500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</row>
    <row r="158" spans="2:26" x14ac:dyDescent="0.2">
      <c r="C158" s="93"/>
      <c r="D158" s="93"/>
      <c r="E158" s="93"/>
      <c r="F158" s="93" t="s">
        <v>364</v>
      </c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</row>
    <row r="159" spans="2:26" x14ac:dyDescent="0.2">
      <c r="B159" t="s">
        <v>7</v>
      </c>
      <c r="C159" s="93"/>
      <c r="D159" s="93">
        <f>-C197*0.25</f>
        <v>-7598.0200263848528</v>
      </c>
      <c r="E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3"/>
      <c r="Z159" s="93"/>
    </row>
    <row r="160" spans="2:26" x14ac:dyDescent="0.2"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</row>
    <row r="161" spans="1:26" x14ac:dyDescent="0.2">
      <c r="B161" t="s">
        <v>67</v>
      </c>
      <c r="C161" s="93"/>
      <c r="D161" s="93">
        <f>D162-D159-D157-D155-D153</f>
        <v>167624.3160444164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  <c r="V161" s="93"/>
      <c r="W161" s="93"/>
      <c r="X161" s="93"/>
      <c r="Y161" s="93"/>
      <c r="Z161" s="93"/>
    </row>
    <row r="162" spans="1:26" ht="15" thickBot="1" x14ac:dyDescent="0.25">
      <c r="C162" s="93"/>
      <c r="D162" s="95">
        <f>D148</f>
        <v>170026.29601803154</v>
      </c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</row>
    <row r="163" spans="1:26" x14ac:dyDescent="0.2"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</row>
    <row r="164" spans="1:26" x14ac:dyDescent="0.2">
      <c r="A164" s="93"/>
      <c r="B164" s="93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</row>
    <row r="165" spans="1:26" ht="15" x14ac:dyDescent="0.25">
      <c r="A165" s="93"/>
      <c r="B165" s="112" t="s">
        <v>365</v>
      </c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</row>
    <row r="166" spans="1:26" x14ac:dyDescent="0.2">
      <c r="A166" s="93"/>
      <c r="B166" s="93"/>
      <c r="D166" s="93"/>
      <c r="E166" s="93" t="s">
        <v>366</v>
      </c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</row>
    <row r="167" spans="1:26" x14ac:dyDescent="0.2">
      <c r="A167" s="93"/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</row>
    <row r="168" spans="1:26" x14ac:dyDescent="0.2">
      <c r="A168" s="93"/>
      <c r="B168" s="93" t="s">
        <v>367</v>
      </c>
      <c r="C168" s="93"/>
      <c r="D168" s="93">
        <f>100000/(5/36)</f>
        <v>720000</v>
      </c>
      <c r="E168" s="93" t="s">
        <v>368</v>
      </c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</row>
    <row r="169" spans="1:26" x14ac:dyDescent="0.2">
      <c r="A169" s="93"/>
      <c r="B169" s="93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</row>
    <row r="170" spans="1:26" x14ac:dyDescent="0.2">
      <c r="A170" s="93"/>
      <c r="B170" s="93" t="s">
        <v>369</v>
      </c>
      <c r="C170" s="93"/>
      <c r="D170" s="93"/>
      <c r="E170" s="93" t="s">
        <v>370</v>
      </c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</row>
    <row r="171" spans="1:26" ht="15" x14ac:dyDescent="0.25">
      <c r="A171" s="93"/>
      <c r="B171" s="93"/>
      <c r="C171" s="93"/>
      <c r="D171" s="112">
        <f>720000*6/36</f>
        <v>120000</v>
      </c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</row>
    <row r="172" spans="1:26" x14ac:dyDescent="0.2">
      <c r="A172" s="93"/>
      <c r="B172" s="93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</row>
    <row r="173" spans="1:26" x14ac:dyDescent="0.2">
      <c r="A173" s="93"/>
      <c r="B173" s="94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</row>
    <row r="174" spans="1:26" ht="15" x14ac:dyDescent="0.25">
      <c r="A174" s="93"/>
      <c r="B174" s="96" t="s">
        <v>371</v>
      </c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</row>
    <row r="175" spans="1:26" x14ac:dyDescent="0.2">
      <c r="A175" s="93"/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</row>
    <row r="176" spans="1:26" x14ac:dyDescent="0.2">
      <c r="A176" s="93"/>
      <c r="C176" s="93"/>
      <c r="D176" s="93"/>
      <c r="E176" s="93"/>
      <c r="F176" s="93" t="s">
        <v>372</v>
      </c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</row>
    <row r="177" spans="1:20" x14ac:dyDescent="0.2">
      <c r="A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</row>
    <row r="178" spans="1:20" x14ac:dyDescent="0.2">
      <c r="A178" s="93"/>
      <c r="B178" s="93" t="s">
        <v>367</v>
      </c>
      <c r="C178" s="93"/>
      <c r="D178" s="93"/>
      <c r="E178" s="93">
        <f>9204.19/(1.05^0.25-1)-1</f>
        <v>750000.15530880447</v>
      </c>
      <c r="F178" s="93" t="s">
        <v>368</v>
      </c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</row>
    <row r="179" spans="1:20" x14ac:dyDescent="0.2">
      <c r="A179" s="93"/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</row>
    <row r="180" spans="1:20" x14ac:dyDescent="0.2">
      <c r="A180" s="93"/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</row>
    <row r="181" spans="1:20" x14ac:dyDescent="0.2">
      <c r="A181" s="93"/>
      <c r="B181" s="94" t="s">
        <v>369</v>
      </c>
      <c r="C181" s="94"/>
      <c r="D181" s="94"/>
      <c r="E181" s="94" t="s">
        <v>373</v>
      </c>
      <c r="F181" s="94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</row>
    <row r="182" spans="1:20" ht="15" x14ac:dyDescent="0.25">
      <c r="A182" s="93"/>
      <c r="B182" s="94"/>
      <c r="C182" s="94"/>
      <c r="D182" s="96">
        <f>750000*11/15</f>
        <v>550000</v>
      </c>
      <c r="E182" s="94"/>
      <c r="F182" s="94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</row>
    <row r="183" spans="1:20" x14ac:dyDescent="0.2">
      <c r="A183" s="93"/>
      <c r="B183" s="94"/>
      <c r="C183" s="94"/>
      <c r="D183" s="94"/>
      <c r="E183" s="94"/>
      <c r="F183" s="94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</row>
    <row r="184" spans="1:20" x14ac:dyDescent="0.2">
      <c r="A184" s="93"/>
      <c r="B184" s="93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</row>
    <row r="185" spans="1:20" ht="15" x14ac:dyDescent="0.25">
      <c r="A185" s="93"/>
      <c r="B185" s="112" t="s">
        <v>374</v>
      </c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</row>
    <row r="186" spans="1:20" x14ac:dyDescent="0.2">
      <c r="A186" s="93"/>
      <c r="B186" s="93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</row>
    <row r="187" spans="1:20" x14ac:dyDescent="0.2">
      <c r="A187" s="93"/>
      <c r="B187" s="93"/>
      <c r="C187" s="93"/>
      <c r="D187" s="93"/>
      <c r="E187" s="93" t="s">
        <v>375</v>
      </c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</row>
    <row r="188" spans="1:20" ht="15" x14ac:dyDescent="0.25">
      <c r="A188" s="93"/>
      <c r="B188" s="112">
        <f>1000000*0.05+500000*0.2+300000*0.2</f>
        <v>210000</v>
      </c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</row>
    <row r="189" spans="1:20" x14ac:dyDescent="0.2">
      <c r="A189" s="93"/>
      <c r="B189" s="93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</row>
    <row r="190" spans="1:20" x14ac:dyDescent="0.2">
      <c r="A190" s="93"/>
      <c r="B190" s="93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</row>
    <row r="191" spans="1:20" ht="15" x14ac:dyDescent="0.25">
      <c r="A191" s="93"/>
      <c r="B191" s="112" t="s">
        <v>376</v>
      </c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</row>
    <row r="192" spans="1:20" x14ac:dyDescent="0.2">
      <c r="A192" s="93"/>
      <c r="B192" s="93"/>
      <c r="C192" s="93"/>
      <c r="D192" s="93" t="s">
        <v>377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</row>
    <row r="193" spans="1:20" x14ac:dyDescent="0.2">
      <c r="A193" s="93"/>
      <c r="B193" t="s">
        <v>378</v>
      </c>
      <c r="C193" s="93">
        <f>-PV(7%,3,32000,400000)</f>
        <v>410497.26417766558</v>
      </c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</row>
    <row r="194" spans="1:20" x14ac:dyDescent="0.2">
      <c r="A194" s="93"/>
      <c r="C194" s="93"/>
      <c r="D194" s="93" t="s">
        <v>354</v>
      </c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</row>
    <row r="195" spans="1:20" x14ac:dyDescent="0.2">
      <c r="A195" s="93"/>
      <c r="B195" t="s">
        <v>379</v>
      </c>
      <c r="C195" s="93">
        <f>-PV(10%,3,32000,400000)</f>
        <v>380105.18407212617</v>
      </c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</row>
    <row r="196" spans="1:20" x14ac:dyDescent="0.2">
      <c r="A196" s="93"/>
      <c r="B196" s="93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</row>
    <row r="197" spans="1:20" ht="15" thickBot="1" x14ac:dyDescent="0.25">
      <c r="A197" s="93"/>
      <c r="B197" s="93" t="s">
        <v>51</v>
      </c>
      <c r="C197" s="95">
        <f>C193-C195</f>
        <v>30392.080105539411</v>
      </c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</row>
    <row r="198" spans="1:20" x14ac:dyDescent="0.2">
      <c r="A198" s="93"/>
      <c r="B198" s="93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</row>
    <row r="199" spans="1:20" x14ac:dyDescent="0.2">
      <c r="A199" s="93"/>
      <c r="B199" s="93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</row>
    <row r="200" spans="1:20" x14ac:dyDescent="0.2">
      <c r="A200" s="98" t="s">
        <v>380</v>
      </c>
      <c r="B200" s="99" t="s">
        <v>381</v>
      </c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</row>
    <row r="201" spans="1:20" x14ac:dyDescent="0.2">
      <c r="A201" s="93"/>
      <c r="B201" s="93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</row>
    <row r="202" spans="1:20" x14ac:dyDescent="0.2">
      <c r="A202" s="93"/>
      <c r="D202" s="93" t="s">
        <v>382</v>
      </c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</row>
    <row r="203" spans="1:20" x14ac:dyDescent="0.2">
      <c r="A203" s="93"/>
      <c r="B203" t="s">
        <v>383</v>
      </c>
      <c r="C203" s="113">
        <f>120000*0.25*0.25</f>
        <v>7500</v>
      </c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</row>
    <row r="204" spans="1:20" x14ac:dyDescent="0.2">
      <c r="A204" s="93"/>
      <c r="B204" s="93"/>
      <c r="C204" s="113"/>
      <c r="D204" s="93" t="s">
        <v>384</v>
      </c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</row>
    <row r="205" spans="1:20" x14ac:dyDescent="0.2">
      <c r="A205" s="93"/>
      <c r="B205" s="93" t="s">
        <v>385</v>
      </c>
      <c r="C205" s="113">
        <f>120000*0.75*0.25*0.15</f>
        <v>3375</v>
      </c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</row>
    <row r="206" spans="1:20" x14ac:dyDescent="0.2">
      <c r="A206" s="93"/>
      <c r="B206" s="93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</row>
    <row r="207" spans="1:20" ht="15" thickBot="1" x14ac:dyDescent="0.25">
      <c r="A207" s="93"/>
      <c r="B207" s="93"/>
      <c r="C207" s="95">
        <f>SUM(C203:C205)</f>
        <v>10875</v>
      </c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</row>
    <row r="208" spans="1:20" x14ac:dyDescent="0.2">
      <c r="A208" s="93"/>
      <c r="B208" s="93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</row>
    <row r="209" spans="1:20" x14ac:dyDescent="0.2">
      <c r="A209" s="93"/>
      <c r="B209" s="93" t="s">
        <v>386</v>
      </c>
      <c r="C209" s="93">
        <f>C205</f>
        <v>3375</v>
      </c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</row>
    <row r="210" spans="1:20" x14ac:dyDescent="0.2">
      <c r="A210" s="93"/>
      <c r="B210" s="93" t="s">
        <v>387</v>
      </c>
      <c r="C210" s="93">
        <f>C203</f>
        <v>7500</v>
      </c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</row>
    <row r="211" spans="1:20" x14ac:dyDescent="0.2">
      <c r="A211" s="93"/>
      <c r="B211" s="93" t="s">
        <v>388</v>
      </c>
      <c r="C211" s="93">
        <f>C207</f>
        <v>10875</v>
      </c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</row>
    <row r="212" spans="1:20" x14ac:dyDescent="0.2">
      <c r="A212" s="93"/>
      <c r="B212" s="93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</row>
    <row r="213" spans="1:20" x14ac:dyDescent="0.2">
      <c r="A213" s="93"/>
      <c r="B213" s="93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</row>
    <row r="214" spans="1:20" x14ac:dyDescent="0.2">
      <c r="A214" s="98" t="s">
        <v>389</v>
      </c>
      <c r="B214" s="99" t="s">
        <v>390</v>
      </c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</row>
    <row r="215" spans="1:20" x14ac:dyDescent="0.2">
      <c r="A215" s="93"/>
      <c r="B215" s="93"/>
      <c r="C215" s="93"/>
      <c r="D215" s="93" t="s">
        <v>391</v>
      </c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</row>
    <row r="216" spans="1:20" x14ac:dyDescent="0.2">
      <c r="A216" s="93"/>
      <c r="B216" t="s">
        <v>378</v>
      </c>
      <c r="C216" s="93">
        <f>-PV(7%,2,32000,400000)</f>
        <v>407232.07267010218</v>
      </c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</row>
    <row r="217" spans="1:20" x14ac:dyDescent="0.2">
      <c r="A217" s="93"/>
      <c r="C217" s="93"/>
      <c r="D217" s="93" t="s">
        <v>392</v>
      </c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</row>
    <row r="218" spans="1:20" x14ac:dyDescent="0.2">
      <c r="A218" s="93"/>
      <c r="B218" t="s">
        <v>379</v>
      </c>
      <c r="C218" s="93">
        <f>-PV(10%,2,32000,400000)</f>
        <v>386115.70247933886</v>
      </c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</row>
    <row r="219" spans="1:20" x14ac:dyDescent="0.2">
      <c r="A219" s="93"/>
      <c r="B219" s="93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</row>
    <row r="220" spans="1:20" ht="15" thickBot="1" x14ac:dyDescent="0.25">
      <c r="A220" s="93"/>
      <c r="B220" s="93" t="s">
        <v>51</v>
      </c>
      <c r="C220" s="95">
        <f>C216-C218</f>
        <v>21116.370190763322</v>
      </c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</row>
    <row r="221" spans="1:20" x14ac:dyDescent="0.2">
      <c r="A221" s="93"/>
      <c r="B221" s="93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</row>
    <row r="222" spans="1:20" x14ac:dyDescent="0.2">
      <c r="A222" s="93"/>
      <c r="B222" s="93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</row>
    <row r="223" spans="1:20" x14ac:dyDescent="0.2">
      <c r="A223" s="98" t="s">
        <v>393</v>
      </c>
      <c r="B223" s="99" t="s">
        <v>394</v>
      </c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</row>
    <row r="224" spans="1:20" x14ac:dyDescent="0.2">
      <c r="A224" s="98"/>
      <c r="B224" s="99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</row>
    <row r="225" spans="1:20" x14ac:dyDescent="0.2">
      <c r="A225" s="93"/>
      <c r="B225" t="s">
        <v>353</v>
      </c>
      <c r="C225" s="93">
        <v>400000</v>
      </c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</row>
    <row r="226" spans="1:20" x14ac:dyDescent="0.2">
      <c r="A226" s="93"/>
      <c r="C226" s="93"/>
      <c r="D226" s="93" t="s">
        <v>392</v>
      </c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</row>
    <row r="227" spans="1:20" x14ac:dyDescent="0.2">
      <c r="A227" s="93"/>
      <c r="B227" t="s">
        <v>355</v>
      </c>
      <c r="C227" s="93">
        <f>-PV(10%,2,32000,400000)</f>
        <v>386115.70247933886</v>
      </c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</row>
    <row r="228" spans="1:20" x14ac:dyDescent="0.2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</row>
    <row r="229" spans="1:20" ht="15" thickBot="1" x14ac:dyDescent="0.25">
      <c r="A229" s="93"/>
      <c r="B229" s="93" t="s">
        <v>51</v>
      </c>
      <c r="C229" s="95">
        <f>C225-C227</f>
        <v>13884.297520661145</v>
      </c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</row>
    <row r="230" spans="1:20" x14ac:dyDescent="0.2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</row>
    <row r="231" spans="1:20" x14ac:dyDescent="0.2">
      <c r="A231" s="93"/>
      <c r="B231" s="93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</row>
    <row r="232" spans="1:20" x14ac:dyDescent="0.2">
      <c r="A232" s="98" t="s">
        <v>395</v>
      </c>
      <c r="B232" s="99" t="s">
        <v>396</v>
      </c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</row>
    <row r="233" spans="1:20" x14ac:dyDescent="0.2">
      <c r="A233" s="93"/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</row>
    <row r="234" spans="1:20" x14ac:dyDescent="0.2">
      <c r="A234" s="93"/>
      <c r="B234" s="93" t="s">
        <v>397</v>
      </c>
      <c r="C234" s="93">
        <v>120000</v>
      </c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</row>
    <row r="235" spans="1:20" x14ac:dyDescent="0.2">
      <c r="A235" s="93"/>
      <c r="B235" s="93"/>
      <c r="C235" s="93"/>
      <c r="D235" s="93" t="s">
        <v>398</v>
      </c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</row>
    <row r="236" spans="1:20" x14ac:dyDescent="0.2">
      <c r="A236" s="93"/>
      <c r="B236" s="93" t="s">
        <v>399</v>
      </c>
      <c r="C236" s="93">
        <f>25000*0.25</f>
        <v>6250</v>
      </c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</row>
    <row r="237" spans="1:20" x14ac:dyDescent="0.2">
      <c r="A237" s="93"/>
      <c r="B237" s="93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</row>
    <row r="238" spans="1:20" ht="15" thickBot="1" x14ac:dyDescent="0.25">
      <c r="A238" s="93"/>
      <c r="B238" s="93" t="s">
        <v>400</v>
      </c>
      <c r="C238" s="95">
        <f>C234-C236</f>
        <v>113750</v>
      </c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</row>
    <row r="239" spans="1:20" x14ac:dyDescent="0.2">
      <c r="A239" s="93"/>
      <c r="B239" s="93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</row>
    <row r="240" spans="1:20" x14ac:dyDescent="0.2">
      <c r="A240" s="93"/>
      <c r="B240" s="93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</row>
    <row r="241" spans="1:20" x14ac:dyDescent="0.2">
      <c r="A241" s="93"/>
      <c r="B241" s="11"/>
      <c r="D241" s="93" t="s">
        <v>382</v>
      </c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</row>
    <row r="242" spans="1:20" x14ac:dyDescent="0.2">
      <c r="A242" s="93"/>
      <c r="B242" s="11" t="s">
        <v>383</v>
      </c>
      <c r="C242" s="113">
        <f>120000*0.25*0.25</f>
        <v>7500</v>
      </c>
      <c r="D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</row>
    <row r="243" spans="1:20" x14ac:dyDescent="0.2">
      <c r="A243" s="93"/>
      <c r="B243" s="94"/>
      <c r="C243" s="113"/>
      <c r="D243" s="93" t="s">
        <v>384</v>
      </c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</row>
    <row r="244" spans="1:20" x14ac:dyDescent="0.2">
      <c r="A244" s="93"/>
      <c r="B244" s="94" t="s">
        <v>385</v>
      </c>
      <c r="C244" s="113">
        <f>120000*0.75*0.25*0.15</f>
        <v>3375</v>
      </c>
      <c r="D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</row>
    <row r="245" spans="1:20" x14ac:dyDescent="0.2">
      <c r="A245" s="93"/>
      <c r="B245" s="93"/>
      <c r="C245" s="93"/>
      <c r="D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</row>
    <row r="246" spans="1:20" ht="15" thickBot="1" x14ac:dyDescent="0.25">
      <c r="A246" s="93"/>
      <c r="B246" s="93"/>
      <c r="C246" s="95">
        <f>SUM(C242:C244)</f>
        <v>10875</v>
      </c>
      <c r="D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</row>
    <row r="247" spans="1:20" x14ac:dyDescent="0.2">
      <c r="A247" s="93"/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</row>
    <row r="248" spans="1:20" x14ac:dyDescent="0.2">
      <c r="A248" s="93"/>
      <c r="B248" s="93" t="s">
        <v>386</v>
      </c>
      <c r="C248" s="93">
        <f>C244</f>
        <v>3375</v>
      </c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</row>
    <row r="249" spans="1:20" x14ac:dyDescent="0.2">
      <c r="A249" s="93"/>
      <c r="B249" s="93" t="s">
        <v>387</v>
      </c>
      <c r="C249" s="93">
        <f>C242</f>
        <v>7500</v>
      </c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</row>
    <row r="250" spans="1:20" x14ac:dyDescent="0.2">
      <c r="A250" s="93"/>
      <c r="B250" s="93" t="s">
        <v>388</v>
      </c>
      <c r="C250" s="93">
        <f>C246</f>
        <v>10875</v>
      </c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</row>
    <row r="251" spans="1:20" x14ac:dyDescent="0.2">
      <c r="A251" s="93"/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</row>
    <row r="252" spans="1:20" x14ac:dyDescent="0.2">
      <c r="A252" s="93"/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</row>
    <row r="253" spans="1:20" x14ac:dyDescent="0.2">
      <c r="A253" s="98" t="s">
        <v>401</v>
      </c>
      <c r="B253" s="99" t="s">
        <v>402</v>
      </c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</row>
    <row r="254" spans="1:20" x14ac:dyDescent="0.2">
      <c r="A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</row>
    <row r="255" spans="1:20" x14ac:dyDescent="0.2">
      <c r="A255" s="93"/>
      <c r="B255" t="s">
        <v>403</v>
      </c>
      <c r="C255" s="93">
        <v>200000</v>
      </c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</row>
    <row r="256" spans="1:20" x14ac:dyDescent="0.2">
      <c r="A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</row>
    <row r="257" spans="1:20" x14ac:dyDescent="0.2">
      <c r="A257" s="93"/>
      <c r="B257" t="s">
        <v>404</v>
      </c>
      <c r="C257" s="93">
        <v>210000</v>
      </c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</row>
    <row r="258" spans="1:20" x14ac:dyDescent="0.2">
      <c r="A258" s="93"/>
      <c r="C258" s="93"/>
      <c r="D258" s="93" t="s">
        <v>201</v>
      </c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</row>
    <row r="259" spans="1:20" x14ac:dyDescent="0.2">
      <c r="A259" s="93"/>
      <c r="B259" t="s">
        <v>405</v>
      </c>
      <c r="C259" s="93">
        <f>(C255-C257)*0.25</f>
        <v>-2500</v>
      </c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</row>
    <row r="260" spans="1:20" x14ac:dyDescent="0.2">
      <c r="A260" s="93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</row>
    <row r="261" spans="1:20" x14ac:dyDescent="0.2">
      <c r="A261" s="93"/>
      <c r="B261" t="s">
        <v>406</v>
      </c>
      <c r="C261" s="113">
        <f>D157</f>
        <v>-22500</v>
      </c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</row>
    <row r="262" spans="1:20" x14ac:dyDescent="0.2">
      <c r="A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</row>
    <row r="263" spans="1:20" ht="15" thickBot="1" x14ac:dyDescent="0.25">
      <c r="A263" s="93"/>
      <c r="B263" t="s">
        <v>407</v>
      </c>
      <c r="C263" s="95">
        <f>C259-C261</f>
        <v>20000</v>
      </c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</row>
    <row r="264" spans="1:20" x14ac:dyDescent="0.2">
      <c r="A264" s="93"/>
      <c r="B264" s="93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</row>
    <row r="265" spans="1:20" x14ac:dyDescent="0.2">
      <c r="A265" s="93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</row>
    <row r="266" spans="1:20" x14ac:dyDescent="0.2">
      <c r="A266" s="93"/>
      <c r="B266" s="93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</row>
    <row r="267" spans="1:20" x14ac:dyDescent="0.2">
      <c r="A267" s="98" t="s">
        <v>408</v>
      </c>
      <c r="B267" s="99" t="s">
        <v>409</v>
      </c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</row>
    <row r="268" spans="1:20" x14ac:dyDescent="0.2">
      <c r="A268" s="93"/>
      <c r="B268" s="93"/>
      <c r="C268" s="93"/>
      <c r="D268" s="93" t="s">
        <v>410</v>
      </c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</row>
    <row r="269" spans="1:20" x14ac:dyDescent="0.2">
      <c r="A269" s="93"/>
      <c r="B269" t="s">
        <v>378</v>
      </c>
      <c r="C269" s="93">
        <f>-PV(7%,1,32000,400000)</f>
        <v>403738.3177570093</v>
      </c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</row>
    <row r="270" spans="1:20" x14ac:dyDescent="0.2">
      <c r="A270" s="93"/>
      <c r="C270" s="93"/>
      <c r="D270" s="93" t="s">
        <v>411</v>
      </c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</row>
    <row r="271" spans="1:20" x14ac:dyDescent="0.2">
      <c r="A271" s="93"/>
      <c r="B271" t="s">
        <v>379</v>
      </c>
      <c r="C271" s="93">
        <f>-PV(10%,1,32000,400000)</f>
        <v>392727.27272727271</v>
      </c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</row>
    <row r="272" spans="1:20" x14ac:dyDescent="0.2">
      <c r="A272" s="93"/>
      <c r="B272" s="93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</row>
    <row r="273" spans="1:20" ht="15" thickBot="1" x14ac:dyDescent="0.25">
      <c r="A273" s="93"/>
      <c r="B273" s="93" t="s">
        <v>51</v>
      </c>
      <c r="C273" s="95">
        <f>C269-C271</f>
        <v>11011.04502973659</v>
      </c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</row>
    <row r="274" spans="1:20" x14ac:dyDescent="0.2">
      <c r="A274" s="93"/>
      <c r="B274" s="93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</row>
    <row r="275" spans="1:20" x14ac:dyDescent="0.2">
      <c r="A275" s="93"/>
      <c r="B275" s="93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</row>
    <row r="276" spans="1:20" x14ac:dyDescent="0.2">
      <c r="A276" s="98" t="s">
        <v>412</v>
      </c>
      <c r="B276" s="99" t="s">
        <v>413</v>
      </c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</row>
    <row r="277" spans="1:20" x14ac:dyDescent="0.2">
      <c r="A277" s="98"/>
      <c r="B277" s="99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</row>
    <row r="278" spans="1:20" x14ac:dyDescent="0.2">
      <c r="A278" s="93"/>
      <c r="B278" t="s">
        <v>353</v>
      </c>
      <c r="C278" s="93">
        <v>400000</v>
      </c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</row>
    <row r="279" spans="1:20" x14ac:dyDescent="0.2">
      <c r="A279" s="93"/>
      <c r="C279" s="93"/>
      <c r="D279" s="93" t="s">
        <v>411</v>
      </c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</row>
    <row r="280" spans="1:20" x14ac:dyDescent="0.2">
      <c r="A280" s="93"/>
      <c r="B280" t="s">
        <v>355</v>
      </c>
      <c r="C280" s="93">
        <f>-PV(10%,1,32000,400000)</f>
        <v>392727.27272727271</v>
      </c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</row>
    <row r="281" spans="1:20" x14ac:dyDescent="0.2">
      <c r="A281" s="93"/>
      <c r="B281" s="93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</row>
    <row r="282" spans="1:20" ht="15" thickBot="1" x14ac:dyDescent="0.25">
      <c r="A282" s="93"/>
      <c r="B282" s="93" t="s">
        <v>51</v>
      </c>
      <c r="C282" s="95">
        <f>C278-C280</f>
        <v>7272.7272727272939</v>
      </c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</row>
    <row r="283" spans="1:20" x14ac:dyDescent="0.2">
      <c r="A283" s="93"/>
      <c r="B283" s="93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</row>
    <row r="284" spans="1:20" x14ac:dyDescent="0.2">
      <c r="A284" s="93"/>
      <c r="B284" s="93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</row>
    <row r="285" spans="1:20" x14ac:dyDescent="0.2">
      <c r="A285" s="98" t="s">
        <v>414</v>
      </c>
      <c r="B285" s="99" t="s">
        <v>415</v>
      </c>
      <c r="C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</row>
    <row r="286" spans="1:20" x14ac:dyDescent="0.2">
      <c r="A286" s="98"/>
      <c r="B286" s="99"/>
      <c r="C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</row>
    <row r="287" spans="1:20" x14ac:dyDescent="0.2">
      <c r="D287" t="s">
        <v>416</v>
      </c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</row>
    <row r="288" spans="1:20" x14ac:dyDescent="0.2">
      <c r="B288" t="s">
        <v>417</v>
      </c>
      <c r="C288" s="93">
        <f>25000*0.75</f>
        <v>18750</v>
      </c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</row>
    <row r="289" spans="1:20" x14ac:dyDescent="0.2"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</row>
    <row r="290" spans="1:20" x14ac:dyDescent="0.2">
      <c r="B290" s="4" t="s">
        <v>418</v>
      </c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</row>
    <row r="291" spans="1:20" x14ac:dyDescent="0.2"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</row>
    <row r="292" spans="1:20" x14ac:dyDescent="0.2">
      <c r="B292" t="s">
        <v>419</v>
      </c>
      <c r="C292" s="93">
        <f>C293+C294</f>
        <v>2265.625</v>
      </c>
      <c r="D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</row>
    <row r="293" spans="1:20" x14ac:dyDescent="0.2">
      <c r="B293" t="s">
        <v>420</v>
      </c>
      <c r="C293" s="93">
        <f>25000*0.75*0.25*0.15</f>
        <v>703.125</v>
      </c>
      <c r="E293" s="93" t="s">
        <v>421</v>
      </c>
      <c r="F293" s="93"/>
      <c r="G293" t="s">
        <v>422</v>
      </c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</row>
    <row r="294" spans="1:20" x14ac:dyDescent="0.2">
      <c r="A294" s="93"/>
      <c r="B294" t="s">
        <v>423</v>
      </c>
      <c r="C294" s="93">
        <f>25000*0.25*0.25</f>
        <v>1562.5</v>
      </c>
      <c r="D294" s="93"/>
      <c r="E294" s="93" t="s">
        <v>424</v>
      </c>
      <c r="F294" s="93"/>
      <c r="G294" t="s">
        <v>425</v>
      </c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</row>
    <row r="295" spans="1:20" x14ac:dyDescent="0.2">
      <c r="A295" s="93"/>
      <c r="B295" s="93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</row>
    <row r="296" spans="1:20" x14ac:dyDescent="0.2">
      <c r="A296" s="93"/>
      <c r="B296" s="93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</row>
    <row r="297" spans="1:20" x14ac:dyDescent="0.2">
      <c r="A297" s="93"/>
      <c r="B297" s="4" t="s">
        <v>293</v>
      </c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</row>
    <row r="298" spans="1:20" x14ac:dyDescent="0.2">
      <c r="A298" s="93"/>
      <c r="B298" s="93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</row>
    <row r="299" spans="1:20" x14ac:dyDescent="0.2">
      <c r="A299" s="93"/>
      <c r="B299" s="93" t="s">
        <v>426</v>
      </c>
      <c r="C299" s="93">
        <f>C293</f>
        <v>703.125</v>
      </c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</row>
    <row r="300" spans="1:20" x14ac:dyDescent="0.2">
      <c r="A300" s="93"/>
      <c r="B300" s="93" t="s">
        <v>427</v>
      </c>
      <c r="C300" s="93">
        <f>C299</f>
        <v>703.125</v>
      </c>
      <c r="D300" s="93"/>
      <c r="E300" s="93"/>
      <c r="F300" s="93"/>
      <c r="G300" t="s">
        <v>422</v>
      </c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</row>
    <row r="301" spans="1:20" x14ac:dyDescent="0.2">
      <c r="A301" s="93"/>
      <c r="B301" s="93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</row>
    <row r="302" spans="1:20" x14ac:dyDescent="0.2">
      <c r="A302" s="93"/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</row>
    <row r="303" spans="1:20" x14ac:dyDescent="0.2">
      <c r="A303" s="98" t="s">
        <v>428</v>
      </c>
      <c r="B303" s="99" t="s">
        <v>429</v>
      </c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</row>
    <row r="304" spans="1:20" x14ac:dyDescent="0.2">
      <c r="A304" s="93"/>
      <c r="B304" s="93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</row>
    <row r="305" spans="1:20" x14ac:dyDescent="0.2">
      <c r="A305" s="93"/>
      <c r="B305" s="93" t="s">
        <v>397</v>
      </c>
      <c r="C305" s="93">
        <v>120000</v>
      </c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</row>
    <row r="306" spans="1:20" x14ac:dyDescent="0.2">
      <c r="A306" s="93"/>
      <c r="B306" s="93"/>
      <c r="C306" s="93"/>
      <c r="D306" s="93" t="s">
        <v>430</v>
      </c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1:20" x14ac:dyDescent="0.2">
      <c r="A307" s="93"/>
      <c r="B307" s="93" t="s">
        <v>399</v>
      </c>
      <c r="C307" s="93">
        <f>50000*0.25</f>
        <v>12500</v>
      </c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1:20" x14ac:dyDescent="0.2">
      <c r="A308" s="93"/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1:20" ht="15" thickBot="1" x14ac:dyDescent="0.25">
      <c r="A309" s="93"/>
      <c r="B309" s="93" t="s">
        <v>400</v>
      </c>
      <c r="C309" s="95">
        <f>C305-C307</f>
        <v>107500</v>
      </c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1:20" x14ac:dyDescent="0.2">
      <c r="A310" s="93"/>
      <c r="B310" s="93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1:20" x14ac:dyDescent="0.2">
      <c r="A311" s="93"/>
      <c r="B311" s="93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1:20" x14ac:dyDescent="0.2">
      <c r="A312" s="93"/>
      <c r="B312" s="11"/>
      <c r="D312" s="93" t="s">
        <v>382</v>
      </c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1:20" x14ac:dyDescent="0.2">
      <c r="A313" s="93"/>
      <c r="B313" s="11" t="s">
        <v>383</v>
      </c>
      <c r="C313" s="113">
        <f>120000*0.25*0.25</f>
        <v>7500</v>
      </c>
      <c r="D313" s="93"/>
      <c r="E313" s="93"/>
    </row>
    <row r="314" spans="1:20" x14ac:dyDescent="0.2">
      <c r="A314" s="93"/>
      <c r="B314" s="94"/>
      <c r="C314" s="113"/>
      <c r="D314" s="93" t="s">
        <v>384</v>
      </c>
      <c r="E314" s="93"/>
    </row>
    <row r="315" spans="1:20" x14ac:dyDescent="0.2">
      <c r="A315" s="93"/>
      <c r="B315" s="94" t="s">
        <v>385</v>
      </c>
      <c r="C315" s="113">
        <f>120000*0.75*0.25*0.15</f>
        <v>3375</v>
      </c>
      <c r="D315" s="93"/>
      <c r="E315" s="93"/>
    </row>
    <row r="316" spans="1:20" x14ac:dyDescent="0.2">
      <c r="A316" s="93"/>
      <c r="B316" s="93"/>
      <c r="C316" s="93"/>
      <c r="D316" s="93"/>
      <c r="E316" s="93"/>
    </row>
    <row r="317" spans="1:20" ht="15" thickBot="1" x14ac:dyDescent="0.25">
      <c r="A317" s="93"/>
      <c r="B317" s="93"/>
      <c r="C317" s="95">
        <f>SUM(C313:C315)</f>
        <v>10875</v>
      </c>
      <c r="D317" s="93"/>
      <c r="E317" s="93"/>
    </row>
    <row r="318" spans="1:20" x14ac:dyDescent="0.2">
      <c r="A318" s="93"/>
      <c r="B318" s="93"/>
      <c r="C318" s="93"/>
      <c r="D318" s="93"/>
      <c r="E318" s="93"/>
    </row>
    <row r="319" spans="1:20" x14ac:dyDescent="0.2">
      <c r="A319" s="93"/>
      <c r="B319" s="93" t="s">
        <v>386</v>
      </c>
      <c r="C319" s="93">
        <f>C315</f>
        <v>3375</v>
      </c>
      <c r="D319" s="93"/>
      <c r="E319" s="93"/>
    </row>
    <row r="320" spans="1:20" x14ac:dyDescent="0.2">
      <c r="A320" s="93"/>
      <c r="B320" s="93" t="s">
        <v>387</v>
      </c>
      <c r="C320" s="93">
        <f>C313</f>
        <v>7500</v>
      </c>
      <c r="D320" s="93"/>
      <c r="E320" s="93"/>
    </row>
    <row r="321" spans="1:8" x14ac:dyDescent="0.2">
      <c r="A321" s="93"/>
      <c r="B321" s="93" t="s">
        <v>388</v>
      </c>
      <c r="C321" s="93">
        <f>C317</f>
        <v>10875</v>
      </c>
      <c r="D321" s="93"/>
      <c r="E321" s="93"/>
    </row>
    <row r="324" spans="1:8" x14ac:dyDescent="0.2">
      <c r="A324" s="98" t="s">
        <v>431</v>
      </c>
      <c r="B324" s="99" t="s">
        <v>432</v>
      </c>
      <c r="C324" s="93"/>
      <c r="E324" s="93"/>
      <c r="F324" s="93"/>
      <c r="G324" s="93"/>
      <c r="H324" s="93"/>
    </row>
    <row r="325" spans="1:8" x14ac:dyDescent="0.2">
      <c r="A325" s="98"/>
      <c r="B325" s="99"/>
      <c r="C325" s="93"/>
      <c r="E325" s="93"/>
      <c r="F325" s="93"/>
      <c r="G325" s="93"/>
      <c r="H325" s="93"/>
    </row>
    <row r="326" spans="1:8" x14ac:dyDescent="0.2">
      <c r="D326" t="s">
        <v>433</v>
      </c>
      <c r="H326" s="93"/>
    </row>
    <row r="327" spans="1:8" x14ac:dyDescent="0.2">
      <c r="B327" t="s">
        <v>417</v>
      </c>
      <c r="C327" s="93">
        <f>50000*0.75</f>
        <v>37500</v>
      </c>
      <c r="D327" s="93"/>
      <c r="E327" s="93"/>
      <c r="F327" s="93"/>
      <c r="G327" s="93"/>
      <c r="H327" s="93"/>
    </row>
    <row r="328" spans="1:8" x14ac:dyDescent="0.2">
      <c r="C328" s="93"/>
      <c r="D328" s="93"/>
      <c r="E328" s="93"/>
      <c r="F328" s="93"/>
      <c r="G328" s="93"/>
      <c r="H328" s="93"/>
    </row>
    <row r="329" spans="1:8" x14ac:dyDescent="0.2">
      <c r="B329" s="4" t="s">
        <v>418</v>
      </c>
      <c r="C329" s="93"/>
      <c r="D329" s="93"/>
      <c r="E329" s="93"/>
      <c r="F329" s="93"/>
      <c r="G329" s="93"/>
      <c r="H329" s="93"/>
    </row>
    <row r="330" spans="1:8" x14ac:dyDescent="0.2">
      <c r="C330" s="93"/>
      <c r="D330" s="93"/>
      <c r="E330" s="93"/>
      <c r="F330" s="93"/>
      <c r="G330" s="93"/>
      <c r="H330" s="93"/>
    </row>
    <row r="331" spans="1:8" x14ac:dyDescent="0.2">
      <c r="B331" t="s">
        <v>419</v>
      </c>
      <c r="C331" s="93">
        <f>C332+C333</f>
        <v>4531.25</v>
      </c>
      <c r="D331" s="93"/>
      <c r="F331" s="93"/>
      <c r="G331" s="93"/>
      <c r="H331" s="93"/>
    </row>
    <row r="332" spans="1:8" x14ac:dyDescent="0.2">
      <c r="B332" t="s">
        <v>420</v>
      </c>
      <c r="C332" s="93">
        <f>50000*0.75*0.25*0.15</f>
        <v>1406.25</v>
      </c>
      <c r="E332" s="93" t="s">
        <v>434</v>
      </c>
      <c r="F332" s="93"/>
      <c r="G332" t="s">
        <v>422</v>
      </c>
      <c r="H332" s="93"/>
    </row>
    <row r="333" spans="1:8" x14ac:dyDescent="0.2">
      <c r="A333" s="93"/>
      <c r="B333" t="s">
        <v>423</v>
      </c>
      <c r="C333" s="93">
        <f>50000*0.25*0.25</f>
        <v>3125</v>
      </c>
      <c r="D333" s="93"/>
      <c r="E333" s="93" t="s">
        <v>435</v>
      </c>
      <c r="F333" s="93"/>
      <c r="G333" t="s">
        <v>425</v>
      </c>
      <c r="H333" s="93"/>
    </row>
    <row r="334" spans="1:8" x14ac:dyDescent="0.2">
      <c r="A334" s="93"/>
      <c r="B334" s="93"/>
      <c r="C334" s="93"/>
      <c r="D334" s="93"/>
      <c r="E334" s="93"/>
      <c r="F334" s="93"/>
      <c r="G334" s="93"/>
      <c r="H334" s="93"/>
    </row>
    <row r="335" spans="1:8" x14ac:dyDescent="0.2">
      <c r="A335" s="93"/>
      <c r="B335" s="93"/>
      <c r="C335" s="93"/>
      <c r="D335" s="93"/>
      <c r="E335" s="93"/>
      <c r="F335" s="93"/>
      <c r="G335" s="93"/>
      <c r="H335" s="93"/>
    </row>
    <row r="336" spans="1:8" x14ac:dyDescent="0.2">
      <c r="A336" s="93"/>
      <c r="B336" s="4" t="s">
        <v>293</v>
      </c>
      <c r="C336" s="93"/>
      <c r="D336" s="93"/>
      <c r="E336" s="93"/>
      <c r="F336" s="93"/>
      <c r="G336" s="93"/>
      <c r="H336" s="93"/>
    </row>
    <row r="337" spans="1:8" x14ac:dyDescent="0.2">
      <c r="A337" s="93"/>
      <c r="B337" s="93"/>
      <c r="C337" s="93"/>
      <c r="D337" s="93"/>
      <c r="E337" s="93"/>
      <c r="F337" s="93"/>
      <c r="G337" s="93"/>
      <c r="H337" s="93"/>
    </row>
    <row r="338" spans="1:8" x14ac:dyDescent="0.2">
      <c r="A338" s="93"/>
      <c r="B338" s="93" t="s">
        <v>426</v>
      </c>
      <c r="C338" s="93">
        <f>C332</f>
        <v>1406.25</v>
      </c>
      <c r="D338" s="93"/>
      <c r="E338" s="93"/>
      <c r="F338" s="93"/>
      <c r="G338" s="93"/>
      <c r="H338" s="93"/>
    </row>
    <row r="339" spans="1:8" x14ac:dyDescent="0.2">
      <c r="A339" s="93"/>
      <c r="B339" s="93" t="s">
        <v>427</v>
      </c>
      <c r="C339" s="93">
        <f>C338</f>
        <v>1406.25</v>
      </c>
      <c r="D339" s="93"/>
      <c r="E339" s="93"/>
      <c r="F339" s="93"/>
      <c r="G339" t="s">
        <v>422</v>
      </c>
      <c r="H339" s="93"/>
    </row>
    <row r="340" spans="1:8" x14ac:dyDescent="0.2">
      <c r="A340" s="93"/>
      <c r="B340" s="93"/>
      <c r="C340" s="93"/>
      <c r="D340" s="93"/>
      <c r="E340" s="93"/>
      <c r="F340" s="93"/>
      <c r="G340" s="93"/>
      <c r="H340" s="93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228"/>
  <sheetViews>
    <sheetView rightToLeft="1" topLeftCell="A175" workbookViewId="0">
      <selection activeCell="C228" sqref="C228"/>
    </sheetView>
  </sheetViews>
  <sheetFormatPr defaultRowHeight="14.25" x14ac:dyDescent="0.2"/>
  <cols>
    <col min="1" max="1" width="3.125" customWidth="1"/>
    <col min="2" max="2" width="13.375" customWidth="1"/>
    <col min="4" max="4" width="9" style="3"/>
    <col min="5" max="5" width="10.125" customWidth="1"/>
    <col min="6" max="6" width="8.25" customWidth="1"/>
    <col min="7" max="7" width="7.25" customWidth="1"/>
    <col min="8" max="8" width="11.625" customWidth="1"/>
    <col min="10" max="10" width="11.5" bestFit="1" customWidth="1"/>
    <col min="13" max="13" width="11.5" bestFit="1" customWidth="1"/>
  </cols>
  <sheetData>
    <row r="2" spans="2:8" x14ac:dyDescent="0.2">
      <c r="B2" s="4" t="s">
        <v>69</v>
      </c>
    </row>
    <row r="4" spans="2:8" x14ac:dyDescent="0.2">
      <c r="B4" s="16" t="s">
        <v>76</v>
      </c>
      <c r="D4" s="3">
        <f>D34</f>
        <v>330000</v>
      </c>
      <c r="H4" s="4"/>
    </row>
    <row r="5" spans="2:8" x14ac:dyDescent="0.2">
      <c r="B5" t="s">
        <v>70</v>
      </c>
      <c r="D5" s="3">
        <f>130000*0.5*0.4</f>
        <v>26000</v>
      </c>
      <c r="F5" t="s">
        <v>71</v>
      </c>
    </row>
    <row r="6" spans="2:8" x14ac:dyDescent="0.2">
      <c r="B6" t="s">
        <v>72</v>
      </c>
    </row>
    <row r="7" spans="2:8" x14ac:dyDescent="0.2">
      <c r="B7" t="s">
        <v>73</v>
      </c>
      <c r="D7" s="3">
        <f>D69+D70</f>
        <v>-2920</v>
      </c>
    </row>
    <row r="8" spans="2:8" x14ac:dyDescent="0.2">
      <c r="B8" t="s">
        <v>74</v>
      </c>
      <c r="D8" s="3">
        <f>D71+D72</f>
        <v>-681.33333333333371</v>
      </c>
    </row>
    <row r="9" spans="2:8" x14ac:dyDescent="0.2">
      <c r="B9" t="s">
        <v>75</v>
      </c>
      <c r="D9" s="3">
        <f>D73+D74</f>
        <v>-138.97642954461679</v>
      </c>
    </row>
    <row r="10" spans="2:8" x14ac:dyDescent="0.2">
      <c r="B10" t="s">
        <v>84</v>
      </c>
      <c r="D10" s="3">
        <f>D117</f>
        <v>3816</v>
      </c>
    </row>
    <row r="11" spans="2:8" x14ac:dyDescent="0.2">
      <c r="B11" t="s">
        <v>92</v>
      </c>
      <c r="D11" s="7">
        <f>D123</f>
        <v>1320</v>
      </c>
    </row>
    <row r="12" spans="2:8" ht="15" x14ac:dyDescent="0.25">
      <c r="B12" s="26" t="s">
        <v>35</v>
      </c>
      <c r="D12" s="27">
        <f>SUM(D4:D11)</f>
        <v>357395.69023712206</v>
      </c>
    </row>
    <row r="13" spans="2:8" x14ac:dyDescent="0.2">
      <c r="B13" t="s">
        <v>90</v>
      </c>
      <c r="D13" s="3">
        <f>(130000-100000*0.15)*0.4</f>
        <v>46000</v>
      </c>
      <c r="G13" t="s">
        <v>91</v>
      </c>
    </row>
    <row r="14" spans="2:8" x14ac:dyDescent="0.2">
      <c r="B14" t="s">
        <v>72</v>
      </c>
    </row>
    <row r="15" spans="2:8" x14ac:dyDescent="0.2">
      <c r="B15" t="s">
        <v>74</v>
      </c>
      <c r="D15" s="3">
        <f>F71+F72</f>
        <v>-1381.3333333333335</v>
      </c>
    </row>
    <row r="16" spans="2:8" x14ac:dyDescent="0.2">
      <c r="B16" t="s">
        <v>75</v>
      </c>
      <c r="D16" s="3">
        <f>F73+F74</f>
        <v>-312.23079962769032</v>
      </c>
    </row>
    <row r="17" spans="2:7" x14ac:dyDescent="0.2">
      <c r="B17" t="s">
        <v>93</v>
      </c>
      <c r="D17" s="3">
        <f>G71+G72</f>
        <v>-5399.9999999999991</v>
      </c>
    </row>
    <row r="18" spans="2:7" x14ac:dyDescent="0.2">
      <c r="B18" t="s">
        <v>105</v>
      </c>
      <c r="D18" s="3">
        <f>D146</f>
        <v>-3580</v>
      </c>
    </row>
    <row r="19" spans="2:7" x14ac:dyDescent="0.2">
      <c r="B19" t="s">
        <v>106</v>
      </c>
      <c r="D19" s="3">
        <f>D152</f>
        <v>-7640</v>
      </c>
    </row>
    <row r="20" spans="2:7" x14ac:dyDescent="0.2">
      <c r="B20" t="s">
        <v>103</v>
      </c>
      <c r="D20" s="7">
        <f>-(40000-15000)*0.4</f>
        <v>-10000</v>
      </c>
      <c r="G20" t="s">
        <v>104</v>
      </c>
    </row>
    <row r="21" spans="2:7" ht="15" x14ac:dyDescent="0.25">
      <c r="B21" s="26" t="s">
        <v>39</v>
      </c>
      <c r="D21" s="27">
        <f>SUM(D12:D20)</f>
        <v>375082.12610416109</v>
      </c>
    </row>
    <row r="22" spans="2:7" x14ac:dyDescent="0.2">
      <c r="B22" t="s">
        <v>112</v>
      </c>
      <c r="D22" s="3">
        <f>(95000-100000*0.15)*0.4</f>
        <v>32000</v>
      </c>
      <c r="G22" t="s">
        <v>113</v>
      </c>
    </row>
    <row r="23" spans="2:7" x14ac:dyDescent="0.2">
      <c r="B23" t="s">
        <v>72</v>
      </c>
    </row>
    <row r="24" spans="2:7" x14ac:dyDescent="0.2">
      <c r="B24" t="s">
        <v>74</v>
      </c>
      <c r="D24" s="3">
        <f>I71+I72</f>
        <v>-1000</v>
      </c>
    </row>
    <row r="25" spans="2:7" x14ac:dyDescent="0.2">
      <c r="B25" t="s">
        <v>75</v>
      </c>
      <c r="D25" s="3">
        <f>I73+I74</f>
        <v>-373.20465685277162</v>
      </c>
    </row>
    <row r="26" spans="2:7" x14ac:dyDescent="0.2">
      <c r="B26" t="s">
        <v>117</v>
      </c>
      <c r="D26" s="3">
        <f>J71+J72</f>
        <v>3600.1</v>
      </c>
    </row>
    <row r="27" spans="2:7" x14ac:dyDescent="0.2">
      <c r="B27" t="s">
        <v>122</v>
      </c>
      <c r="D27" s="3">
        <f>D171</f>
        <v>2100</v>
      </c>
    </row>
    <row r="28" spans="2:7" x14ac:dyDescent="0.2">
      <c r="B28" t="s">
        <v>103</v>
      </c>
      <c r="D28" s="7">
        <f>-(60000-15000)*0.4</f>
        <v>-18000</v>
      </c>
      <c r="G28" t="s">
        <v>123</v>
      </c>
    </row>
    <row r="29" spans="2:7" ht="15" x14ac:dyDescent="0.25">
      <c r="B29" s="26" t="s">
        <v>58</v>
      </c>
      <c r="D29" s="27">
        <f>SUM(D21:D28)</f>
        <v>393409.0214473083</v>
      </c>
    </row>
    <row r="32" spans="2:7" ht="15" x14ac:dyDescent="0.25">
      <c r="B32" s="24" t="s">
        <v>77</v>
      </c>
    </row>
    <row r="34" spans="2:13" x14ac:dyDescent="0.2">
      <c r="B34" t="s">
        <v>0</v>
      </c>
      <c r="D34" s="3">
        <v>330000</v>
      </c>
      <c r="H34" s="4" t="s">
        <v>12</v>
      </c>
    </row>
    <row r="35" spans="2:13" x14ac:dyDescent="0.2">
      <c r="B35" t="s">
        <v>1</v>
      </c>
      <c r="D35" s="7">
        <f>D46*0.4</f>
        <v>191484.40000000002</v>
      </c>
      <c r="F35" t="s">
        <v>88</v>
      </c>
    </row>
    <row r="36" spans="2:13" ht="15.75" x14ac:dyDescent="0.25">
      <c r="D36" s="3">
        <f>D34-D35</f>
        <v>138515.59999999998</v>
      </c>
      <c r="H36" t="s">
        <v>2</v>
      </c>
      <c r="I36" s="3">
        <v>350000</v>
      </c>
      <c r="M36" s="5"/>
    </row>
    <row r="37" spans="2:13" ht="15.75" x14ac:dyDescent="0.25">
      <c r="H37" t="s">
        <v>3</v>
      </c>
      <c r="I37" s="3">
        <v>58000</v>
      </c>
      <c r="M37" s="5"/>
    </row>
    <row r="38" spans="2:13" ht="15.75" x14ac:dyDescent="0.25">
      <c r="B38" s="4" t="s">
        <v>26</v>
      </c>
      <c r="H38" t="s">
        <v>4</v>
      </c>
      <c r="I38" s="3">
        <v>250000</v>
      </c>
      <c r="M38" s="5"/>
    </row>
    <row r="39" spans="2:13" ht="15.75" x14ac:dyDescent="0.25">
      <c r="B39" t="s">
        <v>27</v>
      </c>
      <c r="D39" s="3">
        <f>-SUM(I42:I45)</f>
        <v>613751</v>
      </c>
      <c r="H39" t="s">
        <v>5</v>
      </c>
      <c r="I39" s="3">
        <v>75000</v>
      </c>
      <c r="M39" s="5"/>
    </row>
    <row r="40" spans="2:13" ht="15.75" x14ac:dyDescent="0.25">
      <c r="B40" t="s">
        <v>28</v>
      </c>
      <c r="D40" s="3">
        <f>(50000-58000)*0.73</f>
        <v>-5840</v>
      </c>
      <c r="F40" t="s">
        <v>30</v>
      </c>
      <c r="H40" t="s">
        <v>6</v>
      </c>
      <c r="I40" s="3">
        <v>-50000</v>
      </c>
      <c r="M40" s="5"/>
    </row>
    <row r="41" spans="2:13" ht="15.75" x14ac:dyDescent="0.25">
      <c r="B41" t="s">
        <v>29</v>
      </c>
      <c r="D41" s="7">
        <f>-40000*(1-0.27)</f>
        <v>-29200</v>
      </c>
      <c r="F41" t="s">
        <v>87</v>
      </c>
      <c r="H41" t="s">
        <v>7</v>
      </c>
      <c r="I41" s="3">
        <f>-66177*1.095^0.5</f>
        <v>-69249.100248703588</v>
      </c>
      <c r="K41" t="s">
        <v>24</v>
      </c>
      <c r="M41" s="6"/>
    </row>
    <row r="42" spans="2:13" ht="15.75" x14ac:dyDescent="0.25">
      <c r="D42" s="3">
        <f>SUM(D39:D41)</f>
        <v>578711</v>
      </c>
      <c r="H42" t="s">
        <v>8</v>
      </c>
      <c r="I42" s="3">
        <v>-10000</v>
      </c>
      <c r="M42" s="5"/>
    </row>
    <row r="43" spans="2:13" ht="15.75" x14ac:dyDescent="0.25">
      <c r="H43" t="s">
        <v>9</v>
      </c>
      <c r="I43" s="3">
        <v>-100000</v>
      </c>
      <c r="M43" s="5"/>
    </row>
    <row r="44" spans="2:13" ht="15.75" x14ac:dyDescent="0.25">
      <c r="B44" t="s">
        <v>31</v>
      </c>
      <c r="H44" t="s">
        <v>10</v>
      </c>
      <c r="I44" s="3">
        <v>-290000</v>
      </c>
      <c r="M44" s="5"/>
    </row>
    <row r="45" spans="2:13" ht="15.75" x14ac:dyDescent="0.25">
      <c r="B45" t="s">
        <v>9</v>
      </c>
      <c r="D45" s="3">
        <v>100000</v>
      </c>
      <c r="H45" t="s">
        <v>25</v>
      </c>
      <c r="I45" s="7">
        <v>-213751</v>
      </c>
      <c r="M45" s="6"/>
    </row>
    <row r="46" spans="2:13" x14ac:dyDescent="0.2">
      <c r="B46" t="s">
        <v>32</v>
      </c>
      <c r="D46" s="7">
        <f>D42-D45</f>
        <v>478711</v>
      </c>
      <c r="I46" s="3">
        <f>SUM(I36:I45)</f>
        <v>-0.10024870361667126</v>
      </c>
    </row>
    <row r="47" spans="2:13" x14ac:dyDescent="0.2">
      <c r="D47" s="3">
        <f>SUM(D45:D46)</f>
        <v>578711</v>
      </c>
      <c r="M47" s="10"/>
    </row>
    <row r="48" spans="2:13" x14ac:dyDescent="0.2">
      <c r="H48" s="4" t="s">
        <v>15</v>
      </c>
    </row>
    <row r="49" spans="8:13" x14ac:dyDescent="0.2">
      <c r="I49" t="s">
        <v>16</v>
      </c>
    </row>
    <row r="50" spans="8:13" x14ac:dyDescent="0.2">
      <c r="I50" t="s">
        <v>14</v>
      </c>
      <c r="M50" s="10"/>
    </row>
    <row r="51" spans="8:13" x14ac:dyDescent="0.2">
      <c r="I51" t="s">
        <v>17</v>
      </c>
    </row>
    <row r="52" spans="8:13" ht="15" thickBot="1" x14ac:dyDescent="0.25">
      <c r="I52" t="s">
        <v>18</v>
      </c>
    </row>
    <row r="53" spans="8:13" ht="15" thickBot="1" x14ac:dyDescent="0.25">
      <c r="H53" s="3">
        <f>PV(0.08,6,4000,80000)</f>
        <v>-68905.088806493135</v>
      </c>
      <c r="I53" s="9" t="s">
        <v>19</v>
      </c>
    </row>
    <row r="54" spans="8:13" x14ac:dyDescent="0.2">
      <c r="H54" s="7">
        <v>4816</v>
      </c>
      <c r="I54" s="11" t="s">
        <v>20</v>
      </c>
    </row>
    <row r="55" spans="8:13" x14ac:dyDescent="0.2">
      <c r="H55" s="3">
        <f>H53+H54</f>
        <v>-64089.088806493135</v>
      </c>
      <c r="I55" s="11" t="s">
        <v>21</v>
      </c>
    </row>
    <row r="56" spans="8:13" ht="15" thickBot="1" x14ac:dyDescent="0.25"/>
    <row r="57" spans="8:13" ht="15" thickBot="1" x14ac:dyDescent="0.25">
      <c r="H57" s="8" t="s">
        <v>22</v>
      </c>
      <c r="I57" s="13">
        <f>RATE(6,4000,-64089,80000)</f>
        <v>9.4998788628857772E-2</v>
      </c>
    </row>
    <row r="58" spans="8:13" x14ac:dyDescent="0.2">
      <c r="H58" s="12"/>
    </row>
    <row r="59" spans="8:13" x14ac:dyDescent="0.2">
      <c r="H59" s="4" t="s">
        <v>11</v>
      </c>
    </row>
    <row r="60" spans="8:13" x14ac:dyDescent="0.2">
      <c r="I60" t="s">
        <v>13</v>
      </c>
    </row>
    <row r="61" spans="8:13" x14ac:dyDescent="0.2">
      <c r="I61" t="s">
        <v>23</v>
      </c>
    </row>
    <row r="62" spans="8:13" x14ac:dyDescent="0.2">
      <c r="I62" t="s">
        <v>17</v>
      </c>
    </row>
    <row r="63" spans="8:13" ht="15" thickBot="1" x14ac:dyDescent="0.25">
      <c r="I63" t="s">
        <v>18</v>
      </c>
    </row>
    <row r="64" spans="8:13" ht="15" thickBot="1" x14ac:dyDescent="0.25">
      <c r="H64" s="14">
        <f>PV(0.095,5,4000,80000)</f>
        <v>-66177.048368575794</v>
      </c>
      <c r="I64" s="9" t="s">
        <v>19</v>
      </c>
    </row>
    <row r="66" spans="2:14" x14ac:dyDescent="0.2">
      <c r="B66" s="4" t="s">
        <v>78</v>
      </c>
    </row>
    <row r="68" spans="2:14" ht="30" x14ac:dyDescent="0.2">
      <c r="B68" s="18" t="s">
        <v>36</v>
      </c>
      <c r="C68" s="18" t="s">
        <v>33</v>
      </c>
      <c r="D68" s="19" t="s">
        <v>34</v>
      </c>
      <c r="E68" s="18" t="s">
        <v>35</v>
      </c>
      <c r="F68" s="18" t="s">
        <v>38</v>
      </c>
      <c r="G68" s="18" t="s">
        <v>47</v>
      </c>
      <c r="H68" s="18" t="s">
        <v>39</v>
      </c>
      <c r="I68" s="18" t="s">
        <v>60</v>
      </c>
      <c r="J68" s="18" t="s">
        <v>118</v>
      </c>
      <c r="K68" s="18" t="s">
        <v>58</v>
      </c>
    </row>
    <row r="69" spans="2:14" x14ac:dyDescent="0.2">
      <c r="B69" t="s">
        <v>3</v>
      </c>
      <c r="C69" s="3">
        <f>10000*0.4</f>
        <v>4000</v>
      </c>
      <c r="D69" s="3">
        <f>-C69</f>
        <v>-4000</v>
      </c>
      <c r="E69" s="3">
        <f>C69+D69</f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</row>
    <row r="70" spans="2:14" x14ac:dyDescent="0.2">
      <c r="B70" t="s">
        <v>37</v>
      </c>
      <c r="C70" s="3">
        <f>C69*-0.27</f>
        <v>-1080</v>
      </c>
      <c r="D70" s="3">
        <f>-C70</f>
        <v>1080</v>
      </c>
      <c r="E70" s="3">
        <f>C70+D70</f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2:14" x14ac:dyDescent="0.2">
      <c r="B71" t="s">
        <v>5</v>
      </c>
      <c r="C71" s="3">
        <f>(110000-100000*7.5/10)*0.4</f>
        <v>14000</v>
      </c>
      <c r="D71" s="3">
        <f>E71-C71</f>
        <v>-933.33333333333394</v>
      </c>
      <c r="E71" s="3">
        <f>C71*7/7.5</f>
        <v>13066.666666666666</v>
      </c>
      <c r="F71" s="3">
        <f>-C71/7.5</f>
        <v>-1866.6666666666667</v>
      </c>
      <c r="G71" s="3">
        <f>H71-F71-E71</f>
        <v>-7199.9999999999991</v>
      </c>
      <c r="H71" s="3">
        <f>D141</f>
        <v>4000</v>
      </c>
      <c r="I71" s="3">
        <f>-H71/3</f>
        <v>-1333.3333333333333</v>
      </c>
      <c r="J71" s="3">
        <f>K71-I71-H71</f>
        <v>4800.1333333333332</v>
      </c>
      <c r="K71" s="3">
        <f>D166</f>
        <v>7466.8</v>
      </c>
    </row>
    <row r="72" spans="2:14" x14ac:dyDescent="0.2">
      <c r="B72" t="s">
        <v>40</v>
      </c>
      <c r="C72" s="3">
        <f>-D85</f>
        <v>-3537.3333333333335</v>
      </c>
      <c r="D72" s="3">
        <f>D71*-0.27</f>
        <v>252.00000000000017</v>
      </c>
      <c r="E72" s="3">
        <f>C72+D72</f>
        <v>-3285.3333333333335</v>
      </c>
      <c r="F72" s="3">
        <f>F71*-0.26</f>
        <v>485.33333333333337</v>
      </c>
      <c r="G72" s="3">
        <f>H72-F72-E72</f>
        <v>1800</v>
      </c>
      <c r="H72" s="3">
        <f>H71*-0.25</f>
        <v>-1000</v>
      </c>
      <c r="I72" s="3">
        <f>I71*-0.25</f>
        <v>333.33333333333331</v>
      </c>
      <c r="J72" s="3">
        <f>K72-I72-H72</f>
        <v>-1200.0333333333333</v>
      </c>
      <c r="K72" s="3">
        <f>K71*-0.25</f>
        <v>-1866.7</v>
      </c>
      <c r="N72" s="2"/>
    </row>
    <row r="73" spans="2:14" x14ac:dyDescent="0.2">
      <c r="B73" t="s">
        <v>48</v>
      </c>
      <c r="C73" s="3">
        <f>D98</f>
        <v>2379.588392488417</v>
      </c>
      <c r="D73" s="3">
        <f>E73-C73</f>
        <v>-190.3786706090641</v>
      </c>
      <c r="E73" s="3">
        <f>D105</f>
        <v>2189.2097218793529</v>
      </c>
      <c r="F73" s="3">
        <f>H73-E73</f>
        <v>-421.93351301039229</v>
      </c>
      <c r="G73" s="1">
        <v>0</v>
      </c>
      <c r="H73" s="3">
        <f>J94</f>
        <v>1767.2762088689606</v>
      </c>
      <c r="I73" s="3">
        <f>K73-H73</f>
        <v>-497.60620913702883</v>
      </c>
      <c r="J73" s="1">
        <v>0</v>
      </c>
      <c r="K73" s="3">
        <f>J101</f>
        <v>1269.6699997319317</v>
      </c>
    </row>
    <row r="74" spans="2:14" x14ac:dyDescent="0.2">
      <c r="B74" t="s">
        <v>62</v>
      </c>
      <c r="C74" s="3">
        <f>-D112</f>
        <v>-602.77</v>
      </c>
      <c r="D74" s="3">
        <f>D73*-0.27</f>
        <v>51.40224106444731</v>
      </c>
      <c r="E74" s="3">
        <f>C74+D74</f>
        <v>-551.36775893555273</v>
      </c>
      <c r="F74" s="3">
        <f>F73*-0.26</f>
        <v>109.702713382702</v>
      </c>
      <c r="G74" s="1">
        <v>0</v>
      </c>
      <c r="H74" s="3">
        <f>H73*-0.25</f>
        <v>-441.81905221724014</v>
      </c>
      <c r="I74" s="3">
        <f>I73*-0.25</f>
        <v>124.40155228425721</v>
      </c>
      <c r="J74" s="1">
        <v>0</v>
      </c>
      <c r="K74" s="3">
        <f>K73*-0.25</f>
        <v>-317.41749993298293</v>
      </c>
    </row>
    <row r="75" spans="2:14" x14ac:dyDescent="0.2">
      <c r="B75" t="s">
        <v>67</v>
      </c>
      <c r="C75" s="7">
        <f>C76-SUM(C69:C74)</f>
        <v>123356.1149408449</v>
      </c>
      <c r="D75" s="7">
        <v>0</v>
      </c>
      <c r="E75" s="7">
        <f>C75+D75</f>
        <v>123356.1149408449</v>
      </c>
      <c r="F75" s="23">
        <v>0</v>
      </c>
      <c r="G75" s="23">
        <v>0</v>
      </c>
      <c r="H75" s="7">
        <f>E75</f>
        <v>123356.1149408449</v>
      </c>
      <c r="I75" s="23">
        <v>0</v>
      </c>
      <c r="J75" s="23">
        <v>0</v>
      </c>
      <c r="K75" s="7">
        <f>H75</f>
        <v>123356.1149408449</v>
      </c>
    </row>
    <row r="76" spans="2:14" x14ac:dyDescent="0.2">
      <c r="B76" t="s">
        <v>68</v>
      </c>
      <c r="C76" s="3">
        <f>D36</f>
        <v>138515.59999999998</v>
      </c>
      <c r="D76" s="3">
        <f t="shared" ref="D76:K76" si="0">SUM(D69:D75)</f>
        <v>-3740.3097628779506</v>
      </c>
      <c r="E76" s="3">
        <f t="shared" si="0"/>
        <v>134775.29023712204</v>
      </c>
      <c r="F76" s="3">
        <f t="shared" si="0"/>
        <v>-1693.5641329610237</v>
      </c>
      <c r="G76" s="3">
        <f t="shared" si="0"/>
        <v>-5399.9999999999991</v>
      </c>
      <c r="H76" s="3">
        <f t="shared" si="0"/>
        <v>127681.57209749662</v>
      </c>
      <c r="I76" s="3">
        <f t="shared" si="0"/>
        <v>-1373.2046568527717</v>
      </c>
      <c r="J76" s="3">
        <f t="shared" si="0"/>
        <v>3600.1</v>
      </c>
      <c r="K76" s="3">
        <f t="shared" si="0"/>
        <v>129908.46744064384</v>
      </c>
    </row>
    <row r="77" spans="2:14" x14ac:dyDescent="0.2">
      <c r="C77" s="3"/>
    </row>
    <row r="80" spans="2:14" x14ac:dyDescent="0.2">
      <c r="B80" s="17" t="s">
        <v>41</v>
      </c>
    </row>
    <row r="82" spans="2:11" x14ac:dyDescent="0.2">
      <c r="B82" t="s">
        <v>42</v>
      </c>
      <c r="D82" s="3">
        <f>14000/7.5*0.5*0.27</f>
        <v>252.00000000000003</v>
      </c>
      <c r="E82" s="3"/>
      <c r="F82" t="s">
        <v>43</v>
      </c>
    </row>
    <row r="83" spans="2:11" x14ac:dyDescent="0.2">
      <c r="B83" t="s">
        <v>44</v>
      </c>
      <c r="D83" s="3">
        <f>14000/7.5*0.26</f>
        <v>485.33333333333337</v>
      </c>
      <c r="E83" s="3"/>
      <c r="F83" t="s">
        <v>45</v>
      </c>
    </row>
    <row r="84" spans="2:11" x14ac:dyDescent="0.2">
      <c r="B84" t="s">
        <v>46</v>
      </c>
      <c r="D84" s="7">
        <f>14000/7.5*6*0.25</f>
        <v>2800</v>
      </c>
      <c r="E84" s="3"/>
      <c r="F84" t="s">
        <v>147</v>
      </c>
    </row>
    <row r="85" spans="2:11" x14ac:dyDescent="0.2">
      <c r="D85" s="3">
        <f>SUM(D82:D84)</f>
        <v>3537.3333333333335</v>
      </c>
    </row>
    <row r="87" spans="2:11" x14ac:dyDescent="0.2">
      <c r="B87" s="17" t="s">
        <v>61</v>
      </c>
    </row>
    <row r="89" spans="2:11" x14ac:dyDescent="0.2">
      <c r="D89" s="15" t="s">
        <v>49</v>
      </c>
      <c r="J89" s="15" t="s">
        <v>39</v>
      </c>
    </row>
    <row r="90" spans="2:11" x14ac:dyDescent="0.2">
      <c r="B90" t="s">
        <v>54</v>
      </c>
      <c r="D90" s="20">
        <f>PV(0.095,5,4000,80000)</f>
        <v>-66177.048368575794</v>
      </c>
      <c r="F90" t="s">
        <v>13</v>
      </c>
      <c r="H90" t="s">
        <v>54</v>
      </c>
      <c r="J90" s="20">
        <f>PV(0.095,3,4000,80000)</f>
        <v>-70967.935420131587</v>
      </c>
      <c r="K90" t="s">
        <v>57</v>
      </c>
    </row>
    <row r="91" spans="2:11" x14ac:dyDescent="0.2">
      <c r="B91" t="s">
        <v>55</v>
      </c>
      <c r="D91" s="20">
        <f>PV(0.12,5,4000,80000)</f>
        <v>-59813.253266867963</v>
      </c>
      <c r="H91" t="s">
        <v>55</v>
      </c>
      <c r="J91" s="21">
        <f>PV(0.12,3,4000,80000)</f>
        <v>-66549.744897959186</v>
      </c>
    </row>
    <row r="92" spans="2:11" x14ac:dyDescent="0.2">
      <c r="H92" t="s">
        <v>51</v>
      </c>
      <c r="J92" s="3">
        <f>J91-J90</f>
        <v>4418.190522172401</v>
      </c>
    </row>
    <row r="93" spans="2:11" x14ac:dyDescent="0.2">
      <c r="D93" s="15" t="s">
        <v>33</v>
      </c>
      <c r="H93" t="s">
        <v>52</v>
      </c>
      <c r="J93" s="22">
        <v>0.4</v>
      </c>
    </row>
    <row r="94" spans="2:11" x14ac:dyDescent="0.2">
      <c r="B94" t="s">
        <v>54</v>
      </c>
      <c r="D94" s="20">
        <f>-66177*1.095^0.5</f>
        <v>-69249.100248703588</v>
      </c>
      <c r="F94" t="s">
        <v>24</v>
      </c>
      <c r="H94" t="s">
        <v>53</v>
      </c>
      <c r="J94" s="3">
        <f>J92*J93</f>
        <v>1767.2762088689606</v>
      </c>
    </row>
    <row r="95" spans="2:11" x14ac:dyDescent="0.2">
      <c r="B95" t="s">
        <v>55</v>
      </c>
      <c r="D95" s="21">
        <f>-59813*1.12^0.5</f>
        <v>-63300.129267482545</v>
      </c>
      <c r="F95" t="s">
        <v>50</v>
      </c>
      <c r="J95" s="3"/>
    </row>
    <row r="96" spans="2:11" x14ac:dyDescent="0.2">
      <c r="B96" t="s">
        <v>51</v>
      </c>
      <c r="D96" s="3">
        <f>D95-D94</f>
        <v>5948.9709812210422</v>
      </c>
      <c r="J96" s="15" t="s">
        <v>58</v>
      </c>
    </row>
    <row r="97" spans="2:11" x14ac:dyDescent="0.2">
      <c r="B97" t="s">
        <v>52</v>
      </c>
      <c r="D97" s="22">
        <v>0.4</v>
      </c>
      <c r="H97" t="s">
        <v>54</v>
      </c>
      <c r="J97" s="20">
        <f>PV(0.095,2,4000,80000)</f>
        <v>-73709.889285044104</v>
      </c>
      <c r="K97" t="s">
        <v>59</v>
      </c>
    </row>
    <row r="98" spans="2:11" x14ac:dyDescent="0.2">
      <c r="B98" t="s">
        <v>53</v>
      </c>
      <c r="D98" s="3">
        <f>D96*D97</f>
        <v>2379.588392488417</v>
      </c>
      <c r="H98" t="s">
        <v>55</v>
      </c>
      <c r="J98" s="21">
        <f>PV(0.12,2,4000,80000)</f>
        <v>-70535.714285714275</v>
      </c>
    </row>
    <row r="99" spans="2:11" x14ac:dyDescent="0.2">
      <c r="H99" t="s">
        <v>51</v>
      </c>
      <c r="J99" s="3">
        <f>J98-J97</f>
        <v>3174.174999329829</v>
      </c>
    </row>
    <row r="100" spans="2:11" x14ac:dyDescent="0.2">
      <c r="D100" s="15" t="s">
        <v>35</v>
      </c>
      <c r="H100" t="s">
        <v>52</v>
      </c>
      <c r="J100" s="22">
        <v>0.4</v>
      </c>
    </row>
    <row r="101" spans="2:11" x14ac:dyDescent="0.2">
      <c r="B101" t="s">
        <v>54</v>
      </c>
      <c r="D101" s="20">
        <f>PV(0.095,4,4000,80000)</f>
        <v>-68463.867963590499</v>
      </c>
      <c r="F101" t="s">
        <v>56</v>
      </c>
      <c r="H101" t="s">
        <v>53</v>
      </c>
      <c r="J101" s="3">
        <f>J99*J100</f>
        <v>1269.6699997319317</v>
      </c>
    </row>
    <row r="102" spans="2:11" x14ac:dyDescent="0.2">
      <c r="B102" t="s">
        <v>55</v>
      </c>
      <c r="D102" s="21">
        <f>PV(0.12,4,4000,80000)</f>
        <v>-62990.843658892118</v>
      </c>
    </row>
    <row r="103" spans="2:11" x14ac:dyDescent="0.2">
      <c r="B103" t="s">
        <v>51</v>
      </c>
      <c r="D103" s="3">
        <f>D102-D101</f>
        <v>5473.0243046983815</v>
      </c>
    </row>
    <row r="104" spans="2:11" x14ac:dyDescent="0.2">
      <c r="B104" t="s">
        <v>52</v>
      </c>
      <c r="D104" s="22">
        <v>0.4</v>
      </c>
    </row>
    <row r="105" spans="2:11" x14ac:dyDescent="0.2">
      <c r="B105" t="s">
        <v>53</v>
      </c>
      <c r="D105" s="3">
        <f>D103*D104</f>
        <v>2189.2097218793529</v>
      </c>
    </row>
    <row r="107" spans="2:11" x14ac:dyDescent="0.2">
      <c r="B107" s="17" t="s">
        <v>63</v>
      </c>
    </row>
    <row r="109" spans="2:11" x14ac:dyDescent="0.2">
      <c r="B109" t="s">
        <v>42</v>
      </c>
      <c r="D109" s="3">
        <f>190*0.27</f>
        <v>51.300000000000004</v>
      </c>
      <c r="E109" t="s">
        <v>64</v>
      </c>
      <c r="H109" s="2"/>
    </row>
    <row r="110" spans="2:11" x14ac:dyDescent="0.2">
      <c r="B110" t="s">
        <v>44</v>
      </c>
      <c r="D110" s="3">
        <f>422*0.26</f>
        <v>109.72</v>
      </c>
      <c r="E110" t="s">
        <v>65</v>
      </c>
      <c r="H110" s="2"/>
    </row>
    <row r="111" spans="2:11" x14ac:dyDescent="0.2">
      <c r="B111" t="s">
        <v>46</v>
      </c>
      <c r="D111" s="7">
        <f>1767*0.25</f>
        <v>441.75</v>
      </c>
      <c r="E111" t="s">
        <v>66</v>
      </c>
    </row>
    <row r="112" spans="2:11" x14ac:dyDescent="0.2">
      <c r="D112" s="3">
        <f>SUM(D109:D111)</f>
        <v>602.77</v>
      </c>
    </row>
    <row r="114" spans="2:7" ht="15" x14ac:dyDescent="0.25">
      <c r="B114" s="24" t="s">
        <v>79</v>
      </c>
    </row>
    <row r="116" spans="2:7" x14ac:dyDescent="0.2">
      <c r="B116" t="s">
        <v>80</v>
      </c>
      <c r="D116" s="3">
        <f>(50000-58000)*0.73*0.4</f>
        <v>-2336</v>
      </c>
      <c r="G116" t="s">
        <v>81</v>
      </c>
    </row>
    <row r="117" spans="2:7" ht="15" x14ac:dyDescent="0.25">
      <c r="B117" t="s">
        <v>83</v>
      </c>
      <c r="D117" s="25">
        <f>D118-D116</f>
        <v>3816</v>
      </c>
    </row>
    <row r="118" spans="2:7" x14ac:dyDescent="0.2">
      <c r="B118" t="s">
        <v>82</v>
      </c>
      <c r="D118" s="3">
        <f>(45000-40000)*0.74*0.4</f>
        <v>1480</v>
      </c>
      <c r="G118" t="s">
        <v>107</v>
      </c>
    </row>
    <row r="120" spans="2:7" ht="15" x14ac:dyDescent="0.25">
      <c r="B120" s="24" t="s">
        <v>85</v>
      </c>
    </row>
    <row r="122" spans="2:7" x14ac:dyDescent="0.2">
      <c r="B122" t="s">
        <v>80</v>
      </c>
      <c r="D122" s="3">
        <f>-40000*(1-0.27)*0.4</f>
        <v>-11680</v>
      </c>
      <c r="F122" t="s">
        <v>86</v>
      </c>
    </row>
    <row r="123" spans="2:7" ht="15" x14ac:dyDescent="0.25">
      <c r="B123" t="s">
        <v>83</v>
      </c>
      <c r="D123" s="25">
        <f>D124-D122</f>
        <v>1320</v>
      </c>
    </row>
    <row r="124" spans="2:7" x14ac:dyDescent="0.2">
      <c r="B124" t="s">
        <v>82</v>
      </c>
      <c r="D124" s="3">
        <f>-35000*(1-0.26)*0.4</f>
        <v>-10360</v>
      </c>
      <c r="F124" t="s">
        <v>89</v>
      </c>
    </row>
    <row r="130" spans="2:6" ht="15" x14ac:dyDescent="0.25">
      <c r="B130" s="24" t="s">
        <v>94</v>
      </c>
    </row>
    <row r="132" spans="2:6" x14ac:dyDescent="0.2">
      <c r="B132" s="4" t="s">
        <v>98</v>
      </c>
    </row>
    <row r="133" spans="2:6" ht="15" x14ac:dyDescent="0.25">
      <c r="B133" t="s">
        <v>95</v>
      </c>
      <c r="D133" s="27">
        <f>100000*6/10</f>
        <v>60000</v>
      </c>
      <c r="F133" t="s">
        <v>100</v>
      </c>
    </row>
    <row r="134" spans="2:6" x14ac:dyDescent="0.2">
      <c r="B134" t="s">
        <v>96</v>
      </c>
      <c r="D134" s="3">
        <v>70000</v>
      </c>
    </row>
    <row r="136" spans="2:6" x14ac:dyDescent="0.2">
      <c r="B136" s="4" t="s">
        <v>97</v>
      </c>
    </row>
    <row r="137" spans="2:6" x14ac:dyDescent="0.2">
      <c r="B137" t="s">
        <v>95</v>
      </c>
      <c r="D137" s="28">
        <f>110000*6/7.5</f>
        <v>88000</v>
      </c>
      <c r="F137" t="s">
        <v>101</v>
      </c>
    </row>
    <row r="138" spans="2:6" ht="15" x14ac:dyDescent="0.25">
      <c r="B138" t="s">
        <v>96</v>
      </c>
      <c r="D138" s="27">
        <v>70000</v>
      </c>
    </row>
    <row r="140" spans="2:6" x14ac:dyDescent="0.2">
      <c r="B140" s="4" t="s">
        <v>99</v>
      </c>
    </row>
    <row r="141" spans="2:6" x14ac:dyDescent="0.2">
      <c r="D141" s="3">
        <f>(70000-60000)*0.4</f>
        <v>4000</v>
      </c>
      <c r="F141" t="s">
        <v>102</v>
      </c>
    </row>
    <row r="143" spans="2:6" ht="15" x14ac:dyDescent="0.25">
      <c r="B143" s="24" t="s">
        <v>109</v>
      </c>
    </row>
    <row r="145" spans="2:7" x14ac:dyDescent="0.2">
      <c r="B145" t="s">
        <v>80</v>
      </c>
      <c r="D145" s="3">
        <f>(45000-40000)*0.74*0.4</f>
        <v>1480</v>
      </c>
      <c r="G145" t="s">
        <v>107</v>
      </c>
    </row>
    <row r="146" spans="2:7" ht="15" x14ac:dyDescent="0.25">
      <c r="B146" t="s">
        <v>83</v>
      </c>
      <c r="D146" s="25">
        <f>D147-D145</f>
        <v>-3580</v>
      </c>
    </row>
    <row r="147" spans="2:7" x14ac:dyDescent="0.2">
      <c r="B147" t="s">
        <v>82</v>
      </c>
      <c r="D147" s="3">
        <f>(65000-72000)*0.75*0.4</f>
        <v>-2100</v>
      </c>
      <c r="G147" t="s">
        <v>108</v>
      </c>
    </row>
    <row r="149" spans="2:7" ht="15" x14ac:dyDescent="0.25">
      <c r="B149" s="24" t="s">
        <v>110</v>
      </c>
    </row>
    <row r="151" spans="2:7" x14ac:dyDescent="0.2">
      <c r="B151" t="s">
        <v>80</v>
      </c>
      <c r="D151" s="3">
        <f>-35000*(1-0.26)*0.4</f>
        <v>-10360</v>
      </c>
      <c r="F151" t="s">
        <v>89</v>
      </c>
    </row>
    <row r="152" spans="2:7" ht="15" x14ac:dyDescent="0.25">
      <c r="B152" t="s">
        <v>83</v>
      </c>
      <c r="D152" s="25">
        <f>D153-D151</f>
        <v>-7640</v>
      </c>
    </row>
    <row r="153" spans="2:7" x14ac:dyDescent="0.2">
      <c r="B153" t="s">
        <v>82</v>
      </c>
      <c r="D153" s="3">
        <f>-60000*(1-0.25)*0.4</f>
        <v>-18000</v>
      </c>
      <c r="F153" t="s">
        <v>111</v>
      </c>
    </row>
    <row r="155" spans="2:7" ht="15" x14ac:dyDescent="0.25">
      <c r="B155" s="24" t="s">
        <v>119</v>
      </c>
    </row>
    <row r="157" spans="2:7" x14ac:dyDescent="0.2">
      <c r="B157" s="4" t="s">
        <v>98</v>
      </c>
    </row>
    <row r="158" spans="2:7" ht="15" x14ac:dyDescent="0.25">
      <c r="B158" t="s">
        <v>95</v>
      </c>
      <c r="D158" s="27">
        <f>100000*6/10*2/3</f>
        <v>40000</v>
      </c>
      <c r="F158" t="s">
        <v>114</v>
      </c>
    </row>
    <row r="159" spans="2:7" x14ac:dyDescent="0.2">
      <c r="B159" t="s">
        <v>96</v>
      </c>
      <c r="D159" s="3">
        <v>60000</v>
      </c>
    </row>
    <row r="161" spans="2:7" x14ac:dyDescent="0.2">
      <c r="B161" s="4" t="s">
        <v>97</v>
      </c>
    </row>
    <row r="162" spans="2:7" ht="15" x14ac:dyDescent="0.25">
      <c r="B162" t="s">
        <v>95</v>
      </c>
      <c r="D162" s="27">
        <f>110000*6/7.5*2/3</f>
        <v>58666.666666666664</v>
      </c>
      <c r="F162" t="s">
        <v>115</v>
      </c>
    </row>
    <row r="163" spans="2:7" x14ac:dyDescent="0.2">
      <c r="B163" t="s">
        <v>96</v>
      </c>
      <c r="D163" s="28">
        <f>D159</f>
        <v>60000</v>
      </c>
    </row>
    <row r="165" spans="2:7" x14ac:dyDescent="0.2">
      <c r="B165" s="4" t="s">
        <v>99</v>
      </c>
    </row>
    <row r="166" spans="2:7" x14ac:dyDescent="0.2">
      <c r="D166" s="3">
        <f>(58667-40000)*0.4</f>
        <v>7466.8</v>
      </c>
      <c r="F166" t="s">
        <v>116</v>
      </c>
    </row>
    <row r="168" spans="2:7" ht="15" x14ac:dyDescent="0.25">
      <c r="B168" s="24" t="s">
        <v>120</v>
      </c>
    </row>
    <row r="170" spans="2:7" x14ac:dyDescent="0.2">
      <c r="B170" t="s">
        <v>80</v>
      </c>
      <c r="D170" s="3">
        <f>(65000-72000)*0.75*0.4</f>
        <v>-2100</v>
      </c>
      <c r="G170" t="s">
        <v>108</v>
      </c>
    </row>
    <row r="171" spans="2:7" ht="15" x14ac:dyDescent="0.25">
      <c r="B171" t="s">
        <v>83</v>
      </c>
      <c r="D171" s="25">
        <f>D172-D170</f>
        <v>2100</v>
      </c>
    </row>
    <row r="172" spans="2:7" x14ac:dyDescent="0.2">
      <c r="B172" t="s">
        <v>82</v>
      </c>
      <c r="D172" s="3">
        <f>(48000-48000)*0.75*0.4</f>
        <v>0</v>
      </c>
      <c r="G172" t="s">
        <v>121</v>
      </c>
    </row>
    <row r="174" spans="2:7" x14ac:dyDescent="0.2">
      <c r="B174" s="4" t="s">
        <v>124</v>
      </c>
    </row>
    <row r="175" spans="2:7" x14ac:dyDescent="0.2">
      <c r="B175" t="s">
        <v>125</v>
      </c>
      <c r="D175" s="3">
        <f>D190*0.4</f>
        <v>231500.40000000002</v>
      </c>
    </row>
    <row r="176" spans="2:7" x14ac:dyDescent="0.2">
      <c r="B176" t="s">
        <v>130</v>
      </c>
    </row>
    <row r="177" spans="2:7" x14ac:dyDescent="0.2">
      <c r="B177" t="s">
        <v>131</v>
      </c>
      <c r="D177" s="3">
        <f>(110000-100000*7.5/10)*7/7.5*0.4</f>
        <v>13066.666666666668</v>
      </c>
      <c r="G177" s="29" t="s">
        <v>129</v>
      </c>
    </row>
    <row r="178" spans="2:7" x14ac:dyDescent="0.2">
      <c r="B178" t="s">
        <v>132</v>
      </c>
      <c r="D178" s="3">
        <f>E72</f>
        <v>-3285.3333333333335</v>
      </c>
    </row>
    <row r="179" spans="2:7" x14ac:dyDescent="0.2">
      <c r="B179" t="s">
        <v>133</v>
      </c>
      <c r="D179" s="3">
        <f>D105</f>
        <v>2189.2097218793529</v>
      </c>
    </row>
    <row r="180" spans="2:7" x14ac:dyDescent="0.2">
      <c r="B180" t="s">
        <v>132</v>
      </c>
      <c r="D180" s="3">
        <f>E74</f>
        <v>-551.36775893555273</v>
      </c>
    </row>
    <row r="181" spans="2:7" x14ac:dyDescent="0.2">
      <c r="B181" t="s">
        <v>134</v>
      </c>
      <c r="D181" s="3">
        <f>E75</f>
        <v>123356.1149408449</v>
      </c>
    </row>
    <row r="182" spans="2:7" x14ac:dyDescent="0.2">
      <c r="B182" t="s">
        <v>28</v>
      </c>
      <c r="D182" s="3">
        <f>5000*0.4*0.74</f>
        <v>1480</v>
      </c>
      <c r="F182" t="s">
        <v>128</v>
      </c>
    </row>
    <row r="183" spans="2:7" x14ac:dyDescent="0.2">
      <c r="B183" t="s">
        <v>126</v>
      </c>
      <c r="D183" s="7">
        <f>-35000*0.4*0.74</f>
        <v>-10360</v>
      </c>
      <c r="F183" t="s">
        <v>127</v>
      </c>
    </row>
    <row r="184" spans="2:7" x14ac:dyDescent="0.2">
      <c r="D184" s="3">
        <f>SUM(D175:D183)</f>
        <v>357395.69023712206</v>
      </c>
    </row>
    <row r="185" spans="2:7" x14ac:dyDescent="0.2">
      <c r="B185" t="s">
        <v>137</v>
      </c>
      <c r="D185" s="3">
        <f>D184-D12</f>
        <v>0</v>
      </c>
    </row>
    <row r="187" spans="2:7" x14ac:dyDescent="0.2">
      <c r="B187" t="s">
        <v>135</v>
      </c>
      <c r="D187" s="3">
        <f>613751+130000*0.5</f>
        <v>678751</v>
      </c>
      <c r="G187" t="s">
        <v>136</v>
      </c>
    </row>
    <row r="188" spans="2:7" x14ac:dyDescent="0.2">
      <c r="B188" t="s">
        <v>31</v>
      </c>
    </row>
    <row r="189" spans="2:7" x14ac:dyDescent="0.2">
      <c r="B189" t="s">
        <v>9</v>
      </c>
      <c r="D189" s="3">
        <v>100000</v>
      </c>
    </row>
    <row r="190" spans="2:7" x14ac:dyDescent="0.2">
      <c r="B190" t="s">
        <v>32</v>
      </c>
      <c r="D190" s="3">
        <f>D187-D189</f>
        <v>578751</v>
      </c>
    </row>
    <row r="195" spans="2:7" x14ac:dyDescent="0.2">
      <c r="B195" s="4" t="s">
        <v>138</v>
      </c>
    </row>
    <row r="196" spans="2:7" x14ac:dyDescent="0.2">
      <c r="B196" t="s">
        <v>125</v>
      </c>
      <c r="D196" s="3">
        <f>D211*0.4</f>
        <v>267500.40000000002</v>
      </c>
    </row>
    <row r="197" spans="2:7" x14ac:dyDescent="0.2">
      <c r="B197" t="s">
        <v>130</v>
      </c>
    </row>
    <row r="198" spans="2:7" x14ac:dyDescent="0.2">
      <c r="B198" t="s">
        <v>131</v>
      </c>
      <c r="D198" s="3">
        <f>D141</f>
        <v>4000</v>
      </c>
      <c r="G198" s="29"/>
    </row>
    <row r="199" spans="2:7" x14ac:dyDescent="0.2">
      <c r="B199" t="s">
        <v>132</v>
      </c>
      <c r="D199" s="3">
        <f>H72</f>
        <v>-1000</v>
      </c>
    </row>
    <row r="200" spans="2:7" x14ac:dyDescent="0.2">
      <c r="B200" t="s">
        <v>133</v>
      </c>
      <c r="D200" s="3">
        <f>J94</f>
        <v>1767.2762088689606</v>
      </c>
    </row>
    <row r="201" spans="2:7" x14ac:dyDescent="0.2">
      <c r="B201" t="s">
        <v>132</v>
      </c>
      <c r="D201" s="3">
        <f>H74</f>
        <v>-441.81905221724014</v>
      </c>
    </row>
    <row r="202" spans="2:7" x14ac:dyDescent="0.2">
      <c r="B202" t="s">
        <v>134</v>
      </c>
      <c r="D202" s="3">
        <f>D181</f>
        <v>123356.1149408449</v>
      </c>
    </row>
    <row r="203" spans="2:7" x14ac:dyDescent="0.2">
      <c r="B203" t="s">
        <v>28</v>
      </c>
      <c r="D203" s="3">
        <f>(65000-72000)*0.4*0.75</f>
        <v>-2100</v>
      </c>
      <c r="G203" t="s">
        <v>139</v>
      </c>
    </row>
    <row r="204" spans="2:7" x14ac:dyDescent="0.2">
      <c r="B204" t="s">
        <v>126</v>
      </c>
      <c r="D204" s="7">
        <f>-60000*0.4*0.75</f>
        <v>-18000</v>
      </c>
      <c r="G204" t="s">
        <v>140</v>
      </c>
    </row>
    <row r="205" spans="2:7" x14ac:dyDescent="0.2">
      <c r="D205" s="3">
        <f>SUM(D196:D204)</f>
        <v>375081.97209749662</v>
      </c>
    </row>
    <row r="206" spans="2:7" x14ac:dyDescent="0.2">
      <c r="B206" t="s">
        <v>137</v>
      </c>
      <c r="D206" s="3">
        <f>D205-D21</f>
        <v>-0.15400666446657851</v>
      </c>
    </row>
    <row r="208" spans="2:7" x14ac:dyDescent="0.2">
      <c r="B208" t="s">
        <v>142</v>
      </c>
      <c r="D208" s="3">
        <f>678751+130000-40000</f>
        <v>768751</v>
      </c>
      <c r="G208" t="s">
        <v>141</v>
      </c>
    </row>
    <row r="209" spans="2:8" x14ac:dyDescent="0.2">
      <c r="B209" t="s">
        <v>31</v>
      </c>
    </row>
    <row r="210" spans="2:8" x14ac:dyDescent="0.2">
      <c r="B210" t="s">
        <v>9</v>
      </c>
      <c r="D210" s="3">
        <v>100000</v>
      </c>
    </row>
    <row r="211" spans="2:8" x14ac:dyDescent="0.2">
      <c r="B211" t="s">
        <v>32</v>
      </c>
      <c r="D211" s="3">
        <f>D208-D210</f>
        <v>668751</v>
      </c>
    </row>
    <row r="213" spans="2:8" x14ac:dyDescent="0.2">
      <c r="B213" s="4" t="s">
        <v>145</v>
      </c>
    </row>
    <row r="214" spans="2:8" x14ac:dyDescent="0.2">
      <c r="B214" t="s">
        <v>125</v>
      </c>
      <c r="D214" s="3">
        <f>D228*0.4</f>
        <v>263500.40000000002</v>
      </c>
    </row>
    <row r="215" spans="2:8" x14ac:dyDescent="0.2">
      <c r="B215" t="s">
        <v>130</v>
      </c>
    </row>
    <row r="216" spans="2:8" x14ac:dyDescent="0.2">
      <c r="B216" t="s">
        <v>131</v>
      </c>
      <c r="D216" s="3">
        <f>K71</f>
        <v>7466.8</v>
      </c>
      <c r="G216" s="29"/>
    </row>
    <row r="217" spans="2:8" x14ac:dyDescent="0.2">
      <c r="B217" t="s">
        <v>132</v>
      </c>
      <c r="D217" s="3">
        <f t="shared" ref="D217:D220" si="1">K72</f>
        <v>-1866.7</v>
      </c>
    </row>
    <row r="218" spans="2:8" x14ac:dyDescent="0.2">
      <c r="B218" t="s">
        <v>133</v>
      </c>
      <c r="D218" s="3">
        <f t="shared" si="1"/>
        <v>1269.6699997319317</v>
      </c>
    </row>
    <row r="219" spans="2:8" x14ac:dyDescent="0.2">
      <c r="B219" t="s">
        <v>132</v>
      </c>
      <c r="D219" s="3">
        <f t="shared" si="1"/>
        <v>-317.41749993298293</v>
      </c>
    </row>
    <row r="220" spans="2:8" x14ac:dyDescent="0.2">
      <c r="B220" t="s">
        <v>134</v>
      </c>
      <c r="D220" s="3">
        <f t="shared" si="1"/>
        <v>123356.1149408449</v>
      </c>
    </row>
    <row r="221" spans="2:8" x14ac:dyDescent="0.2">
      <c r="B221" t="s">
        <v>28</v>
      </c>
      <c r="D221" s="7">
        <f>(48000-48000)*0.4*0.75</f>
        <v>0</v>
      </c>
      <c r="H221" t="s">
        <v>143</v>
      </c>
    </row>
    <row r="222" spans="2:8" x14ac:dyDescent="0.2">
      <c r="D222" s="3">
        <f>SUM(D214:D221)</f>
        <v>393408.86744064384</v>
      </c>
    </row>
    <row r="223" spans="2:8" x14ac:dyDescent="0.2">
      <c r="B223" t="s">
        <v>137</v>
      </c>
      <c r="D223" s="3">
        <f>D222-D29</f>
        <v>-0.15400666446657851</v>
      </c>
    </row>
    <row r="225" spans="2:8" x14ac:dyDescent="0.2">
      <c r="B225" t="s">
        <v>146</v>
      </c>
      <c r="D225" s="3">
        <f>768751+95000-60000-60000*0.75</f>
        <v>758751</v>
      </c>
      <c r="H225" s="30" t="s">
        <v>144</v>
      </c>
    </row>
    <row r="226" spans="2:8" x14ac:dyDescent="0.2">
      <c r="B226" t="s">
        <v>31</v>
      </c>
    </row>
    <row r="227" spans="2:8" x14ac:dyDescent="0.2">
      <c r="B227" t="s">
        <v>9</v>
      </c>
      <c r="D227" s="3">
        <v>100000</v>
      </c>
    </row>
    <row r="228" spans="2:8" x14ac:dyDescent="0.2">
      <c r="B228" t="s">
        <v>32</v>
      </c>
      <c r="D228" s="3">
        <f>D225-D227</f>
        <v>658751</v>
      </c>
    </row>
  </sheetData>
  <pageMargins left="0.24" right="0.4" top="0.54" bottom="0.42" header="0.31496062992125984" footer="0.31496062992125984"/>
  <pageSetup paperSize="9" scale="8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4"/>
  <sheetViews>
    <sheetView rightToLeft="1" tabSelected="1" workbookViewId="0">
      <selection activeCell="F15" sqref="F15"/>
    </sheetView>
  </sheetViews>
  <sheetFormatPr defaultRowHeight="12.75" x14ac:dyDescent="0.2"/>
  <cols>
    <col min="1" max="1" width="10.5" style="114" customWidth="1"/>
    <col min="2" max="2" width="9.5" style="114" bestFit="1" customWidth="1"/>
    <col min="3" max="3" width="18.25" style="121" customWidth="1"/>
    <col min="4" max="4" width="8.875" style="114" bestFit="1" customWidth="1"/>
    <col min="5" max="5" width="8.375" style="116" bestFit="1" customWidth="1"/>
    <col min="6" max="6" width="11.25" style="114" customWidth="1"/>
    <col min="7" max="10" width="9" style="114"/>
    <col min="11" max="11" width="8.5" style="114" customWidth="1"/>
    <col min="12" max="12" width="12.75" style="114" customWidth="1"/>
    <col min="13" max="15" width="9" style="133"/>
    <col min="16" max="255" width="9" style="114"/>
    <col min="256" max="256" width="10.5" style="114" customWidth="1"/>
    <col min="257" max="257" width="9.5" style="114" bestFit="1" customWidth="1"/>
    <col min="258" max="258" width="18.25" style="114" customWidth="1"/>
    <col min="259" max="259" width="8.875" style="114" bestFit="1" customWidth="1"/>
    <col min="260" max="260" width="8.375" style="114" bestFit="1" customWidth="1"/>
    <col min="261" max="261" width="11.25" style="114" customWidth="1"/>
    <col min="262" max="266" width="9" style="114"/>
    <col min="267" max="267" width="8.5" style="114" customWidth="1"/>
    <col min="268" max="268" width="12.75" style="114" customWidth="1"/>
    <col min="269" max="511" width="9" style="114"/>
    <col min="512" max="512" width="10.5" style="114" customWidth="1"/>
    <col min="513" max="513" width="9.5" style="114" bestFit="1" customWidth="1"/>
    <col min="514" max="514" width="18.25" style="114" customWidth="1"/>
    <col min="515" max="515" width="8.875" style="114" bestFit="1" customWidth="1"/>
    <col min="516" max="516" width="8.375" style="114" bestFit="1" customWidth="1"/>
    <col min="517" max="517" width="11.25" style="114" customWidth="1"/>
    <col min="518" max="522" width="9" style="114"/>
    <col min="523" max="523" width="8.5" style="114" customWidth="1"/>
    <col min="524" max="524" width="12.75" style="114" customWidth="1"/>
    <col min="525" max="767" width="9" style="114"/>
    <col min="768" max="768" width="10.5" style="114" customWidth="1"/>
    <col min="769" max="769" width="9.5" style="114" bestFit="1" customWidth="1"/>
    <col min="770" max="770" width="18.25" style="114" customWidth="1"/>
    <col min="771" max="771" width="8.875" style="114" bestFit="1" customWidth="1"/>
    <col min="772" max="772" width="8.375" style="114" bestFit="1" customWidth="1"/>
    <col min="773" max="773" width="11.25" style="114" customWidth="1"/>
    <col min="774" max="778" width="9" style="114"/>
    <col min="779" max="779" width="8.5" style="114" customWidth="1"/>
    <col min="780" max="780" width="12.75" style="114" customWidth="1"/>
    <col min="781" max="1023" width="9" style="114"/>
    <col min="1024" max="1024" width="10.5" style="114" customWidth="1"/>
    <col min="1025" max="1025" width="9.5" style="114" bestFit="1" customWidth="1"/>
    <col min="1026" max="1026" width="18.25" style="114" customWidth="1"/>
    <col min="1027" max="1027" width="8.875" style="114" bestFit="1" customWidth="1"/>
    <col min="1028" max="1028" width="8.375" style="114" bestFit="1" customWidth="1"/>
    <col min="1029" max="1029" width="11.25" style="114" customWidth="1"/>
    <col min="1030" max="1034" width="9" style="114"/>
    <col min="1035" max="1035" width="8.5" style="114" customWidth="1"/>
    <col min="1036" max="1036" width="12.75" style="114" customWidth="1"/>
    <col min="1037" max="1279" width="9" style="114"/>
    <col min="1280" max="1280" width="10.5" style="114" customWidth="1"/>
    <col min="1281" max="1281" width="9.5" style="114" bestFit="1" customWidth="1"/>
    <col min="1282" max="1282" width="18.25" style="114" customWidth="1"/>
    <col min="1283" max="1283" width="8.875" style="114" bestFit="1" customWidth="1"/>
    <col min="1284" max="1284" width="8.375" style="114" bestFit="1" customWidth="1"/>
    <col min="1285" max="1285" width="11.25" style="114" customWidth="1"/>
    <col min="1286" max="1290" width="9" style="114"/>
    <col min="1291" max="1291" width="8.5" style="114" customWidth="1"/>
    <col min="1292" max="1292" width="12.75" style="114" customWidth="1"/>
    <col min="1293" max="1535" width="9" style="114"/>
    <col min="1536" max="1536" width="10.5" style="114" customWidth="1"/>
    <col min="1537" max="1537" width="9.5" style="114" bestFit="1" customWidth="1"/>
    <col min="1538" max="1538" width="18.25" style="114" customWidth="1"/>
    <col min="1539" max="1539" width="8.875" style="114" bestFit="1" customWidth="1"/>
    <col min="1540" max="1540" width="8.375" style="114" bestFit="1" customWidth="1"/>
    <col min="1541" max="1541" width="11.25" style="114" customWidth="1"/>
    <col min="1542" max="1546" width="9" style="114"/>
    <col min="1547" max="1547" width="8.5" style="114" customWidth="1"/>
    <col min="1548" max="1548" width="12.75" style="114" customWidth="1"/>
    <col min="1549" max="1791" width="9" style="114"/>
    <col min="1792" max="1792" width="10.5" style="114" customWidth="1"/>
    <col min="1793" max="1793" width="9.5" style="114" bestFit="1" customWidth="1"/>
    <col min="1794" max="1794" width="18.25" style="114" customWidth="1"/>
    <col min="1795" max="1795" width="8.875" style="114" bestFit="1" customWidth="1"/>
    <col min="1796" max="1796" width="8.375" style="114" bestFit="1" customWidth="1"/>
    <col min="1797" max="1797" width="11.25" style="114" customWidth="1"/>
    <col min="1798" max="1802" width="9" style="114"/>
    <col min="1803" max="1803" width="8.5" style="114" customWidth="1"/>
    <col min="1804" max="1804" width="12.75" style="114" customWidth="1"/>
    <col min="1805" max="2047" width="9" style="114"/>
    <col min="2048" max="2048" width="10.5" style="114" customWidth="1"/>
    <col min="2049" max="2049" width="9.5" style="114" bestFit="1" customWidth="1"/>
    <col min="2050" max="2050" width="18.25" style="114" customWidth="1"/>
    <col min="2051" max="2051" width="8.875" style="114" bestFit="1" customWidth="1"/>
    <col min="2052" max="2052" width="8.375" style="114" bestFit="1" customWidth="1"/>
    <col min="2053" max="2053" width="11.25" style="114" customWidth="1"/>
    <col min="2054" max="2058" width="9" style="114"/>
    <col min="2059" max="2059" width="8.5" style="114" customWidth="1"/>
    <col min="2060" max="2060" width="12.75" style="114" customWidth="1"/>
    <col min="2061" max="2303" width="9" style="114"/>
    <col min="2304" max="2304" width="10.5" style="114" customWidth="1"/>
    <col min="2305" max="2305" width="9.5" style="114" bestFit="1" customWidth="1"/>
    <col min="2306" max="2306" width="18.25" style="114" customWidth="1"/>
    <col min="2307" max="2307" width="8.875" style="114" bestFit="1" customWidth="1"/>
    <col min="2308" max="2308" width="8.375" style="114" bestFit="1" customWidth="1"/>
    <col min="2309" max="2309" width="11.25" style="114" customWidth="1"/>
    <col min="2310" max="2314" width="9" style="114"/>
    <col min="2315" max="2315" width="8.5" style="114" customWidth="1"/>
    <col min="2316" max="2316" width="12.75" style="114" customWidth="1"/>
    <col min="2317" max="2559" width="9" style="114"/>
    <col min="2560" max="2560" width="10.5" style="114" customWidth="1"/>
    <col min="2561" max="2561" width="9.5" style="114" bestFit="1" customWidth="1"/>
    <col min="2562" max="2562" width="18.25" style="114" customWidth="1"/>
    <col min="2563" max="2563" width="8.875" style="114" bestFit="1" customWidth="1"/>
    <col min="2564" max="2564" width="8.375" style="114" bestFit="1" customWidth="1"/>
    <col min="2565" max="2565" width="11.25" style="114" customWidth="1"/>
    <col min="2566" max="2570" width="9" style="114"/>
    <col min="2571" max="2571" width="8.5" style="114" customWidth="1"/>
    <col min="2572" max="2572" width="12.75" style="114" customWidth="1"/>
    <col min="2573" max="2815" width="9" style="114"/>
    <col min="2816" max="2816" width="10.5" style="114" customWidth="1"/>
    <col min="2817" max="2817" width="9.5" style="114" bestFit="1" customWidth="1"/>
    <col min="2818" max="2818" width="18.25" style="114" customWidth="1"/>
    <col min="2819" max="2819" width="8.875" style="114" bestFit="1" customWidth="1"/>
    <col min="2820" max="2820" width="8.375" style="114" bestFit="1" customWidth="1"/>
    <col min="2821" max="2821" width="11.25" style="114" customWidth="1"/>
    <col min="2822" max="2826" width="9" style="114"/>
    <col min="2827" max="2827" width="8.5" style="114" customWidth="1"/>
    <col min="2828" max="2828" width="12.75" style="114" customWidth="1"/>
    <col min="2829" max="3071" width="9" style="114"/>
    <col min="3072" max="3072" width="10.5" style="114" customWidth="1"/>
    <col min="3073" max="3073" width="9.5" style="114" bestFit="1" customWidth="1"/>
    <col min="3074" max="3074" width="18.25" style="114" customWidth="1"/>
    <col min="3075" max="3075" width="8.875" style="114" bestFit="1" customWidth="1"/>
    <col min="3076" max="3076" width="8.375" style="114" bestFit="1" customWidth="1"/>
    <col min="3077" max="3077" width="11.25" style="114" customWidth="1"/>
    <col min="3078" max="3082" width="9" style="114"/>
    <col min="3083" max="3083" width="8.5" style="114" customWidth="1"/>
    <col min="3084" max="3084" width="12.75" style="114" customWidth="1"/>
    <col min="3085" max="3327" width="9" style="114"/>
    <col min="3328" max="3328" width="10.5" style="114" customWidth="1"/>
    <col min="3329" max="3329" width="9.5" style="114" bestFit="1" customWidth="1"/>
    <col min="3330" max="3330" width="18.25" style="114" customWidth="1"/>
    <col min="3331" max="3331" width="8.875" style="114" bestFit="1" customWidth="1"/>
    <col min="3332" max="3332" width="8.375" style="114" bestFit="1" customWidth="1"/>
    <col min="3333" max="3333" width="11.25" style="114" customWidth="1"/>
    <col min="3334" max="3338" width="9" style="114"/>
    <col min="3339" max="3339" width="8.5" style="114" customWidth="1"/>
    <col min="3340" max="3340" width="12.75" style="114" customWidth="1"/>
    <col min="3341" max="3583" width="9" style="114"/>
    <col min="3584" max="3584" width="10.5" style="114" customWidth="1"/>
    <col min="3585" max="3585" width="9.5" style="114" bestFit="1" customWidth="1"/>
    <col min="3586" max="3586" width="18.25" style="114" customWidth="1"/>
    <col min="3587" max="3587" width="8.875" style="114" bestFit="1" customWidth="1"/>
    <col min="3588" max="3588" width="8.375" style="114" bestFit="1" customWidth="1"/>
    <col min="3589" max="3589" width="11.25" style="114" customWidth="1"/>
    <col min="3590" max="3594" width="9" style="114"/>
    <col min="3595" max="3595" width="8.5" style="114" customWidth="1"/>
    <col min="3596" max="3596" width="12.75" style="114" customWidth="1"/>
    <col min="3597" max="3839" width="9" style="114"/>
    <col min="3840" max="3840" width="10.5" style="114" customWidth="1"/>
    <col min="3841" max="3841" width="9.5" style="114" bestFit="1" customWidth="1"/>
    <col min="3842" max="3842" width="18.25" style="114" customWidth="1"/>
    <col min="3843" max="3843" width="8.875" style="114" bestFit="1" customWidth="1"/>
    <col min="3844" max="3844" width="8.375" style="114" bestFit="1" customWidth="1"/>
    <col min="3845" max="3845" width="11.25" style="114" customWidth="1"/>
    <col min="3846" max="3850" width="9" style="114"/>
    <col min="3851" max="3851" width="8.5" style="114" customWidth="1"/>
    <col min="3852" max="3852" width="12.75" style="114" customWidth="1"/>
    <col min="3853" max="4095" width="9" style="114"/>
    <col min="4096" max="4096" width="10.5" style="114" customWidth="1"/>
    <col min="4097" max="4097" width="9.5" style="114" bestFit="1" customWidth="1"/>
    <col min="4098" max="4098" width="18.25" style="114" customWidth="1"/>
    <col min="4099" max="4099" width="8.875" style="114" bestFit="1" customWidth="1"/>
    <col min="4100" max="4100" width="8.375" style="114" bestFit="1" customWidth="1"/>
    <col min="4101" max="4101" width="11.25" style="114" customWidth="1"/>
    <col min="4102" max="4106" width="9" style="114"/>
    <col min="4107" max="4107" width="8.5" style="114" customWidth="1"/>
    <col min="4108" max="4108" width="12.75" style="114" customWidth="1"/>
    <col min="4109" max="4351" width="9" style="114"/>
    <col min="4352" max="4352" width="10.5" style="114" customWidth="1"/>
    <col min="4353" max="4353" width="9.5" style="114" bestFit="1" customWidth="1"/>
    <col min="4354" max="4354" width="18.25" style="114" customWidth="1"/>
    <col min="4355" max="4355" width="8.875" style="114" bestFit="1" customWidth="1"/>
    <col min="4356" max="4356" width="8.375" style="114" bestFit="1" customWidth="1"/>
    <col min="4357" max="4357" width="11.25" style="114" customWidth="1"/>
    <col min="4358" max="4362" width="9" style="114"/>
    <col min="4363" max="4363" width="8.5" style="114" customWidth="1"/>
    <col min="4364" max="4364" width="12.75" style="114" customWidth="1"/>
    <col min="4365" max="4607" width="9" style="114"/>
    <col min="4608" max="4608" width="10.5" style="114" customWidth="1"/>
    <col min="4609" max="4609" width="9.5" style="114" bestFit="1" customWidth="1"/>
    <col min="4610" max="4610" width="18.25" style="114" customWidth="1"/>
    <col min="4611" max="4611" width="8.875" style="114" bestFit="1" customWidth="1"/>
    <col min="4612" max="4612" width="8.375" style="114" bestFit="1" customWidth="1"/>
    <col min="4613" max="4613" width="11.25" style="114" customWidth="1"/>
    <col min="4614" max="4618" width="9" style="114"/>
    <col min="4619" max="4619" width="8.5" style="114" customWidth="1"/>
    <col min="4620" max="4620" width="12.75" style="114" customWidth="1"/>
    <col min="4621" max="4863" width="9" style="114"/>
    <col min="4864" max="4864" width="10.5" style="114" customWidth="1"/>
    <col min="4865" max="4865" width="9.5" style="114" bestFit="1" customWidth="1"/>
    <col min="4866" max="4866" width="18.25" style="114" customWidth="1"/>
    <col min="4867" max="4867" width="8.875" style="114" bestFit="1" customWidth="1"/>
    <col min="4868" max="4868" width="8.375" style="114" bestFit="1" customWidth="1"/>
    <col min="4869" max="4869" width="11.25" style="114" customWidth="1"/>
    <col min="4870" max="4874" width="9" style="114"/>
    <col min="4875" max="4875" width="8.5" style="114" customWidth="1"/>
    <col min="4876" max="4876" width="12.75" style="114" customWidth="1"/>
    <col min="4877" max="5119" width="9" style="114"/>
    <col min="5120" max="5120" width="10.5" style="114" customWidth="1"/>
    <col min="5121" max="5121" width="9.5" style="114" bestFit="1" customWidth="1"/>
    <col min="5122" max="5122" width="18.25" style="114" customWidth="1"/>
    <col min="5123" max="5123" width="8.875" style="114" bestFit="1" customWidth="1"/>
    <col min="5124" max="5124" width="8.375" style="114" bestFit="1" customWidth="1"/>
    <col min="5125" max="5125" width="11.25" style="114" customWidth="1"/>
    <col min="5126" max="5130" width="9" style="114"/>
    <col min="5131" max="5131" width="8.5" style="114" customWidth="1"/>
    <col min="5132" max="5132" width="12.75" style="114" customWidth="1"/>
    <col min="5133" max="5375" width="9" style="114"/>
    <col min="5376" max="5376" width="10.5" style="114" customWidth="1"/>
    <col min="5377" max="5377" width="9.5" style="114" bestFit="1" customWidth="1"/>
    <col min="5378" max="5378" width="18.25" style="114" customWidth="1"/>
    <col min="5379" max="5379" width="8.875" style="114" bestFit="1" customWidth="1"/>
    <col min="5380" max="5380" width="8.375" style="114" bestFit="1" customWidth="1"/>
    <col min="5381" max="5381" width="11.25" style="114" customWidth="1"/>
    <col min="5382" max="5386" width="9" style="114"/>
    <col min="5387" max="5387" width="8.5" style="114" customWidth="1"/>
    <col min="5388" max="5388" width="12.75" style="114" customWidth="1"/>
    <col min="5389" max="5631" width="9" style="114"/>
    <col min="5632" max="5632" width="10.5" style="114" customWidth="1"/>
    <col min="5633" max="5633" width="9.5" style="114" bestFit="1" customWidth="1"/>
    <col min="5634" max="5634" width="18.25" style="114" customWidth="1"/>
    <col min="5635" max="5635" width="8.875" style="114" bestFit="1" customWidth="1"/>
    <col min="5636" max="5636" width="8.375" style="114" bestFit="1" customWidth="1"/>
    <col min="5637" max="5637" width="11.25" style="114" customWidth="1"/>
    <col min="5638" max="5642" width="9" style="114"/>
    <col min="5643" max="5643" width="8.5" style="114" customWidth="1"/>
    <col min="5644" max="5644" width="12.75" style="114" customWidth="1"/>
    <col min="5645" max="5887" width="9" style="114"/>
    <col min="5888" max="5888" width="10.5" style="114" customWidth="1"/>
    <col min="5889" max="5889" width="9.5" style="114" bestFit="1" customWidth="1"/>
    <col min="5890" max="5890" width="18.25" style="114" customWidth="1"/>
    <col min="5891" max="5891" width="8.875" style="114" bestFit="1" customWidth="1"/>
    <col min="5892" max="5892" width="8.375" style="114" bestFit="1" customWidth="1"/>
    <col min="5893" max="5893" width="11.25" style="114" customWidth="1"/>
    <col min="5894" max="5898" width="9" style="114"/>
    <col min="5899" max="5899" width="8.5" style="114" customWidth="1"/>
    <col min="5900" max="5900" width="12.75" style="114" customWidth="1"/>
    <col min="5901" max="6143" width="9" style="114"/>
    <col min="6144" max="6144" width="10.5" style="114" customWidth="1"/>
    <col min="6145" max="6145" width="9.5" style="114" bestFit="1" customWidth="1"/>
    <col min="6146" max="6146" width="18.25" style="114" customWidth="1"/>
    <col min="6147" max="6147" width="8.875" style="114" bestFit="1" customWidth="1"/>
    <col min="6148" max="6148" width="8.375" style="114" bestFit="1" customWidth="1"/>
    <col min="6149" max="6149" width="11.25" style="114" customWidth="1"/>
    <col min="6150" max="6154" width="9" style="114"/>
    <col min="6155" max="6155" width="8.5" style="114" customWidth="1"/>
    <col min="6156" max="6156" width="12.75" style="114" customWidth="1"/>
    <col min="6157" max="6399" width="9" style="114"/>
    <col min="6400" max="6400" width="10.5" style="114" customWidth="1"/>
    <col min="6401" max="6401" width="9.5" style="114" bestFit="1" customWidth="1"/>
    <col min="6402" max="6402" width="18.25" style="114" customWidth="1"/>
    <col min="6403" max="6403" width="8.875" style="114" bestFit="1" customWidth="1"/>
    <col min="6404" max="6404" width="8.375" style="114" bestFit="1" customWidth="1"/>
    <col min="6405" max="6405" width="11.25" style="114" customWidth="1"/>
    <col min="6406" max="6410" width="9" style="114"/>
    <col min="6411" max="6411" width="8.5" style="114" customWidth="1"/>
    <col min="6412" max="6412" width="12.75" style="114" customWidth="1"/>
    <col min="6413" max="6655" width="9" style="114"/>
    <col min="6656" max="6656" width="10.5" style="114" customWidth="1"/>
    <col min="6657" max="6657" width="9.5" style="114" bestFit="1" customWidth="1"/>
    <col min="6658" max="6658" width="18.25" style="114" customWidth="1"/>
    <col min="6659" max="6659" width="8.875" style="114" bestFit="1" customWidth="1"/>
    <col min="6660" max="6660" width="8.375" style="114" bestFit="1" customWidth="1"/>
    <col min="6661" max="6661" width="11.25" style="114" customWidth="1"/>
    <col min="6662" max="6666" width="9" style="114"/>
    <col min="6667" max="6667" width="8.5" style="114" customWidth="1"/>
    <col min="6668" max="6668" width="12.75" style="114" customWidth="1"/>
    <col min="6669" max="6911" width="9" style="114"/>
    <col min="6912" max="6912" width="10.5" style="114" customWidth="1"/>
    <col min="6913" max="6913" width="9.5" style="114" bestFit="1" customWidth="1"/>
    <col min="6914" max="6914" width="18.25" style="114" customWidth="1"/>
    <col min="6915" max="6915" width="8.875" style="114" bestFit="1" customWidth="1"/>
    <col min="6916" max="6916" width="8.375" style="114" bestFit="1" customWidth="1"/>
    <col min="6917" max="6917" width="11.25" style="114" customWidth="1"/>
    <col min="6918" max="6922" width="9" style="114"/>
    <col min="6923" max="6923" width="8.5" style="114" customWidth="1"/>
    <col min="6924" max="6924" width="12.75" style="114" customWidth="1"/>
    <col min="6925" max="7167" width="9" style="114"/>
    <col min="7168" max="7168" width="10.5" style="114" customWidth="1"/>
    <col min="7169" max="7169" width="9.5" style="114" bestFit="1" customWidth="1"/>
    <col min="7170" max="7170" width="18.25" style="114" customWidth="1"/>
    <col min="7171" max="7171" width="8.875" style="114" bestFit="1" customWidth="1"/>
    <col min="7172" max="7172" width="8.375" style="114" bestFit="1" customWidth="1"/>
    <col min="7173" max="7173" width="11.25" style="114" customWidth="1"/>
    <col min="7174" max="7178" width="9" style="114"/>
    <col min="7179" max="7179" width="8.5" style="114" customWidth="1"/>
    <col min="7180" max="7180" width="12.75" style="114" customWidth="1"/>
    <col min="7181" max="7423" width="9" style="114"/>
    <col min="7424" max="7424" width="10.5" style="114" customWidth="1"/>
    <col min="7425" max="7425" width="9.5" style="114" bestFit="1" customWidth="1"/>
    <col min="7426" max="7426" width="18.25" style="114" customWidth="1"/>
    <col min="7427" max="7427" width="8.875" style="114" bestFit="1" customWidth="1"/>
    <col min="7428" max="7428" width="8.375" style="114" bestFit="1" customWidth="1"/>
    <col min="7429" max="7429" width="11.25" style="114" customWidth="1"/>
    <col min="7430" max="7434" width="9" style="114"/>
    <col min="7435" max="7435" width="8.5" style="114" customWidth="1"/>
    <col min="7436" max="7436" width="12.75" style="114" customWidth="1"/>
    <col min="7437" max="7679" width="9" style="114"/>
    <col min="7680" max="7680" width="10.5" style="114" customWidth="1"/>
    <col min="7681" max="7681" width="9.5" style="114" bestFit="1" customWidth="1"/>
    <col min="7682" max="7682" width="18.25" style="114" customWidth="1"/>
    <col min="7683" max="7683" width="8.875" style="114" bestFit="1" customWidth="1"/>
    <col min="7684" max="7684" width="8.375" style="114" bestFit="1" customWidth="1"/>
    <col min="7685" max="7685" width="11.25" style="114" customWidth="1"/>
    <col min="7686" max="7690" width="9" style="114"/>
    <col min="7691" max="7691" width="8.5" style="114" customWidth="1"/>
    <col min="7692" max="7692" width="12.75" style="114" customWidth="1"/>
    <col min="7693" max="7935" width="9" style="114"/>
    <col min="7936" max="7936" width="10.5" style="114" customWidth="1"/>
    <col min="7937" max="7937" width="9.5" style="114" bestFit="1" customWidth="1"/>
    <col min="7938" max="7938" width="18.25" style="114" customWidth="1"/>
    <col min="7939" max="7939" width="8.875" style="114" bestFit="1" customWidth="1"/>
    <col min="7940" max="7940" width="8.375" style="114" bestFit="1" customWidth="1"/>
    <col min="7941" max="7941" width="11.25" style="114" customWidth="1"/>
    <col min="7942" max="7946" width="9" style="114"/>
    <col min="7947" max="7947" width="8.5" style="114" customWidth="1"/>
    <col min="7948" max="7948" width="12.75" style="114" customWidth="1"/>
    <col min="7949" max="8191" width="9" style="114"/>
    <col min="8192" max="8192" width="10.5" style="114" customWidth="1"/>
    <col min="8193" max="8193" width="9.5" style="114" bestFit="1" customWidth="1"/>
    <col min="8194" max="8194" width="18.25" style="114" customWidth="1"/>
    <col min="8195" max="8195" width="8.875" style="114" bestFit="1" customWidth="1"/>
    <col min="8196" max="8196" width="8.375" style="114" bestFit="1" customWidth="1"/>
    <col min="8197" max="8197" width="11.25" style="114" customWidth="1"/>
    <col min="8198" max="8202" width="9" style="114"/>
    <col min="8203" max="8203" width="8.5" style="114" customWidth="1"/>
    <col min="8204" max="8204" width="12.75" style="114" customWidth="1"/>
    <col min="8205" max="8447" width="9" style="114"/>
    <col min="8448" max="8448" width="10.5" style="114" customWidth="1"/>
    <col min="8449" max="8449" width="9.5" style="114" bestFit="1" customWidth="1"/>
    <col min="8450" max="8450" width="18.25" style="114" customWidth="1"/>
    <col min="8451" max="8451" width="8.875" style="114" bestFit="1" customWidth="1"/>
    <col min="8452" max="8452" width="8.375" style="114" bestFit="1" customWidth="1"/>
    <col min="8453" max="8453" width="11.25" style="114" customWidth="1"/>
    <col min="8454" max="8458" width="9" style="114"/>
    <col min="8459" max="8459" width="8.5" style="114" customWidth="1"/>
    <col min="8460" max="8460" width="12.75" style="114" customWidth="1"/>
    <col min="8461" max="8703" width="9" style="114"/>
    <col min="8704" max="8704" width="10.5" style="114" customWidth="1"/>
    <col min="8705" max="8705" width="9.5" style="114" bestFit="1" customWidth="1"/>
    <col min="8706" max="8706" width="18.25" style="114" customWidth="1"/>
    <col min="8707" max="8707" width="8.875" style="114" bestFit="1" customWidth="1"/>
    <col min="8708" max="8708" width="8.375" style="114" bestFit="1" customWidth="1"/>
    <col min="8709" max="8709" width="11.25" style="114" customWidth="1"/>
    <col min="8710" max="8714" width="9" style="114"/>
    <col min="8715" max="8715" width="8.5" style="114" customWidth="1"/>
    <col min="8716" max="8716" width="12.75" style="114" customWidth="1"/>
    <col min="8717" max="8959" width="9" style="114"/>
    <col min="8960" max="8960" width="10.5" style="114" customWidth="1"/>
    <col min="8961" max="8961" width="9.5" style="114" bestFit="1" customWidth="1"/>
    <col min="8962" max="8962" width="18.25" style="114" customWidth="1"/>
    <col min="8963" max="8963" width="8.875" style="114" bestFit="1" customWidth="1"/>
    <col min="8964" max="8964" width="8.375" style="114" bestFit="1" customWidth="1"/>
    <col min="8965" max="8965" width="11.25" style="114" customWidth="1"/>
    <col min="8966" max="8970" width="9" style="114"/>
    <col min="8971" max="8971" width="8.5" style="114" customWidth="1"/>
    <col min="8972" max="8972" width="12.75" style="114" customWidth="1"/>
    <col min="8973" max="9215" width="9" style="114"/>
    <col min="9216" max="9216" width="10.5" style="114" customWidth="1"/>
    <col min="9217" max="9217" width="9.5" style="114" bestFit="1" customWidth="1"/>
    <col min="9218" max="9218" width="18.25" style="114" customWidth="1"/>
    <col min="9219" max="9219" width="8.875" style="114" bestFit="1" customWidth="1"/>
    <col min="9220" max="9220" width="8.375" style="114" bestFit="1" customWidth="1"/>
    <col min="9221" max="9221" width="11.25" style="114" customWidth="1"/>
    <col min="9222" max="9226" width="9" style="114"/>
    <col min="9227" max="9227" width="8.5" style="114" customWidth="1"/>
    <col min="9228" max="9228" width="12.75" style="114" customWidth="1"/>
    <col min="9229" max="9471" width="9" style="114"/>
    <col min="9472" max="9472" width="10.5" style="114" customWidth="1"/>
    <col min="9473" max="9473" width="9.5" style="114" bestFit="1" customWidth="1"/>
    <col min="9474" max="9474" width="18.25" style="114" customWidth="1"/>
    <col min="9475" max="9475" width="8.875" style="114" bestFit="1" customWidth="1"/>
    <col min="9476" max="9476" width="8.375" style="114" bestFit="1" customWidth="1"/>
    <col min="9477" max="9477" width="11.25" style="114" customWidth="1"/>
    <col min="9478" max="9482" width="9" style="114"/>
    <col min="9483" max="9483" width="8.5" style="114" customWidth="1"/>
    <col min="9484" max="9484" width="12.75" style="114" customWidth="1"/>
    <col min="9485" max="9727" width="9" style="114"/>
    <col min="9728" max="9728" width="10.5" style="114" customWidth="1"/>
    <col min="9729" max="9729" width="9.5" style="114" bestFit="1" customWidth="1"/>
    <col min="9730" max="9730" width="18.25" style="114" customWidth="1"/>
    <col min="9731" max="9731" width="8.875" style="114" bestFit="1" customWidth="1"/>
    <col min="9732" max="9732" width="8.375" style="114" bestFit="1" customWidth="1"/>
    <col min="9733" max="9733" width="11.25" style="114" customWidth="1"/>
    <col min="9734" max="9738" width="9" style="114"/>
    <col min="9739" max="9739" width="8.5" style="114" customWidth="1"/>
    <col min="9740" max="9740" width="12.75" style="114" customWidth="1"/>
    <col min="9741" max="9983" width="9" style="114"/>
    <col min="9984" max="9984" width="10.5" style="114" customWidth="1"/>
    <col min="9985" max="9985" width="9.5" style="114" bestFit="1" customWidth="1"/>
    <col min="9986" max="9986" width="18.25" style="114" customWidth="1"/>
    <col min="9987" max="9987" width="8.875" style="114" bestFit="1" customWidth="1"/>
    <col min="9988" max="9988" width="8.375" style="114" bestFit="1" customWidth="1"/>
    <col min="9989" max="9989" width="11.25" style="114" customWidth="1"/>
    <col min="9990" max="9994" width="9" style="114"/>
    <col min="9995" max="9995" width="8.5" style="114" customWidth="1"/>
    <col min="9996" max="9996" width="12.75" style="114" customWidth="1"/>
    <col min="9997" max="10239" width="9" style="114"/>
    <col min="10240" max="10240" width="10.5" style="114" customWidth="1"/>
    <col min="10241" max="10241" width="9.5" style="114" bestFit="1" customWidth="1"/>
    <col min="10242" max="10242" width="18.25" style="114" customWidth="1"/>
    <col min="10243" max="10243" width="8.875" style="114" bestFit="1" customWidth="1"/>
    <col min="10244" max="10244" width="8.375" style="114" bestFit="1" customWidth="1"/>
    <col min="10245" max="10245" width="11.25" style="114" customWidth="1"/>
    <col min="10246" max="10250" width="9" style="114"/>
    <col min="10251" max="10251" width="8.5" style="114" customWidth="1"/>
    <col min="10252" max="10252" width="12.75" style="114" customWidth="1"/>
    <col min="10253" max="10495" width="9" style="114"/>
    <col min="10496" max="10496" width="10.5" style="114" customWidth="1"/>
    <col min="10497" max="10497" width="9.5" style="114" bestFit="1" customWidth="1"/>
    <col min="10498" max="10498" width="18.25" style="114" customWidth="1"/>
    <col min="10499" max="10499" width="8.875" style="114" bestFit="1" customWidth="1"/>
    <col min="10500" max="10500" width="8.375" style="114" bestFit="1" customWidth="1"/>
    <col min="10501" max="10501" width="11.25" style="114" customWidth="1"/>
    <col min="10502" max="10506" width="9" style="114"/>
    <col min="10507" max="10507" width="8.5" style="114" customWidth="1"/>
    <col min="10508" max="10508" width="12.75" style="114" customWidth="1"/>
    <col min="10509" max="10751" width="9" style="114"/>
    <col min="10752" max="10752" width="10.5" style="114" customWidth="1"/>
    <col min="10753" max="10753" width="9.5" style="114" bestFit="1" customWidth="1"/>
    <col min="10754" max="10754" width="18.25" style="114" customWidth="1"/>
    <col min="10755" max="10755" width="8.875" style="114" bestFit="1" customWidth="1"/>
    <col min="10756" max="10756" width="8.375" style="114" bestFit="1" customWidth="1"/>
    <col min="10757" max="10757" width="11.25" style="114" customWidth="1"/>
    <col min="10758" max="10762" width="9" style="114"/>
    <col min="10763" max="10763" width="8.5" style="114" customWidth="1"/>
    <col min="10764" max="10764" width="12.75" style="114" customWidth="1"/>
    <col min="10765" max="11007" width="9" style="114"/>
    <col min="11008" max="11008" width="10.5" style="114" customWidth="1"/>
    <col min="11009" max="11009" width="9.5" style="114" bestFit="1" customWidth="1"/>
    <col min="11010" max="11010" width="18.25" style="114" customWidth="1"/>
    <col min="11011" max="11011" width="8.875" style="114" bestFit="1" customWidth="1"/>
    <col min="11012" max="11012" width="8.375" style="114" bestFit="1" customWidth="1"/>
    <col min="11013" max="11013" width="11.25" style="114" customWidth="1"/>
    <col min="11014" max="11018" width="9" style="114"/>
    <col min="11019" max="11019" width="8.5" style="114" customWidth="1"/>
    <col min="11020" max="11020" width="12.75" style="114" customWidth="1"/>
    <col min="11021" max="11263" width="9" style="114"/>
    <col min="11264" max="11264" width="10.5" style="114" customWidth="1"/>
    <col min="11265" max="11265" width="9.5" style="114" bestFit="1" customWidth="1"/>
    <col min="11266" max="11266" width="18.25" style="114" customWidth="1"/>
    <col min="11267" max="11267" width="8.875" style="114" bestFit="1" customWidth="1"/>
    <col min="11268" max="11268" width="8.375" style="114" bestFit="1" customWidth="1"/>
    <col min="11269" max="11269" width="11.25" style="114" customWidth="1"/>
    <col min="11270" max="11274" width="9" style="114"/>
    <col min="11275" max="11275" width="8.5" style="114" customWidth="1"/>
    <col min="11276" max="11276" width="12.75" style="114" customWidth="1"/>
    <col min="11277" max="11519" width="9" style="114"/>
    <col min="11520" max="11520" width="10.5" style="114" customWidth="1"/>
    <col min="11521" max="11521" width="9.5" style="114" bestFit="1" customWidth="1"/>
    <col min="11522" max="11522" width="18.25" style="114" customWidth="1"/>
    <col min="11523" max="11523" width="8.875" style="114" bestFit="1" customWidth="1"/>
    <col min="11524" max="11524" width="8.375" style="114" bestFit="1" customWidth="1"/>
    <col min="11525" max="11525" width="11.25" style="114" customWidth="1"/>
    <col min="11526" max="11530" width="9" style="114"/>
    <col min="11531" max="11531" width="8.5" style="114" customWidth="1"/>
    <col min="11532" max="11532" width="12.75" style="114" customWidth="1"/>
    <col min="11533" max="11775" width="9" style="114"/>
    <col min="11776" max="11776" width="10.5" style="114" customWidth="1"/>
    <col min="11777" max="11777" width="9.5" style="114" bestFit="1" customWidth="1"/>
    <col min="11778" max="11778" width="18.25" style="114" customWidth="1"/>
    <col min="11779" max="11779" width="8.875" style="114" bestFit="1" customWidth="1"/>
    <col min="11780" max="11780" width="8.375" style="114" bestFit="1" customWidth="1"/>
    <col min="11781" max="11781" width="11.25" style="114" customWidth="1"/>
    <col min="11782" max="11786" width="9" style="114"/>
    <col min="11787" max="11787" width="8.5" style="114" customWidth="1"/>
    <col min="11788" max="11788" width="12.75" style="114" customWidth="1"/>
    <col min="11789" max="12031" width="9" style="114"/>
    <col min="12032" max="12032" width="10.5" style="114" customWidth="1"/>
    <col min="12033" max="12033" width="9.5" style="114" bestFit="1" customWidth="1"/>
    <col min="12034" max="12034" width="18.25" style="114" customWidth="1"/>
    <col min="12035" max="12035" width="8.875" style="114" bestFit="1" customWidth="1"/>
    <col min="12036" max="12036" width="8.375" style="114" bestFit="1" customWidth="1"/>
    <col min="12037" max="12037" width="11.25" style="114" customWidth="1"/>
    <col min="12038" max="12042" width="9" style="114"/>
    <col min="12043" max="12043" width="8.5" style="114" customWidth="1"/>
    <col min="12044" max="12044" width="12.75" style="114" customWidth="1"/>
    <col min="12045" max="12287" width="9" style="114"/>
    <col min="12288" max="12288" width="10.5" style="114" customWidth="1"/>
    <col min="12289" max="12289" width="9.5" style="114" bestFit="1" customWidth="1"/>
    <col min="12290" max="12290" width="18.25" style="114" customWidth="1"/>
    <col min="12291" max="12291" width="8.875" style="114" bestFit="1" customWidth="1"/>
    <col min="12292" max="12292" width="8.375" style="114" bestFit="1" customWidth="1"/>
    <col min="12293" max="12293" width="11.25" style="114" customWidth="1"/>
    <col min="12294" max="12298" width="9" style="114"/>
    <col min="12299" max="12299" width="8.5" style="114" customWidth="1"/>
    <col min="12300" max="12300" width="12.75" style="114" customWidth="1"/>
    <col min="12301" max="12543" width="9" style="114"/>
    <col min="12544" max="12544" width="10.5" style="114" customWidth="1"/>
    <col min="12545" max="12545" width="9.5" style="114" bestFit="1" customWidth="1"/>
    <col min="12546" max="12546" width="18.25" style="114" customWidth="1"/>
    <col min="12547" max="12547" width="8.875" style="114" bestFit="1" customWidth="1"/>
    <col min="12548" max="12548" width="8.375" style="114" bestFit="1" customWidth="1"/>
    <col min="12549" max="12549" width="11.25" style="114" customWidth="1"/>
    <col min="12550" max="12554" width="9" style="114"/>
    <col min="12555" max="12555" width="8.5" style="114" customWidth="1"/>
    <col min="12556" max="12556" width="12.75" style="114" customWidth="1"/>
    <col min="12557" max="12799" width="9" style="114"/>
    <col min="12800" max="12800" width="10.5" style="114" customWidth="1"/>
    <col min="12801" max="12801" width="9.5" style="114" bestFit="1" customWidth="1"/>
    <col min="12802" max="12802" width="18.25" style="114" customWidth="1"/>
    <col min="12803" max="12803" width="8.875" style="114" bestFit="1" customWidth="1"/>
    <col min="12804" max="12804" width="8.375" style="114" bestFit="1" customWidth="1"/>
    <col min="12805" max="12805" width="11.25" style="114" customWidth="1"/>
    <col min="12806" max="12810" width="9" style="114"/>
    <col min="12811" max="12811" width="8.5" style="114" customWidth="1"/>
    <col min="12812" max="12812" width="12.75" style="114" customWidth="1"/>
    <col min="12813" max="13055" width="9" style="114"/>
    <col min="13056" max="13056" width="10.5" style="114" customWidth="1"/>
    <col min="13057" max="13057" width="9.5" style="114" bestFit="1" customWidth="1"/>
    <col min="13058" max="13058" width="18.25" style="114" customWidth="1"/>
    <col min="13059" max="13059" width="8.875" style="114" bestFit="1" customWidth="1"/>
    <col min="13060" max="13060" width="8.375" style="114" bestFit="1" customWidth="1"/>
    <col min="13061" max="13061" width="11.25" style="114" customWidth="1"/>
    <col min="13062" max="13066" width="9" style="114"/>
    <col min="13067" max="13067" width="8.5" style="114" customWidth="1"/>
    <col min="13068" max="13068" width="12.75" style="114" customWidth="1"/>
    <col min="13069" max="13311" width="9" style="114"/>
    <col min="13312" max="13312" width="10.5" style="114" customWidth="1"/>
    <col min="13313" max="13313" width="9.5" style="114" bestFit="1" customWidth="1"/>
    <col min="13314" max="13314" width="18.25" style="114" customWidth="1"/>
    <col min="13315" max="13315" width="8.875" style="114" bestFit="1" customWidth="1"/>
    <col min="13316" max="13316" width="8.375" style="114" bestFit="1" customWidth="1"/>
    <col min="13317" max="13317" width="11.25" style="114" customWidth="1"/>
    <col min="13318" max="13322" width="9" style="114"/>
    <col min="13323" max="13323" width="8.5" style="114" customWidth="1"/>
    <col min="13324" max="13324" width="12.75" style="114" customWidth="1"/>
    <col min="13325" max="13567" width="9" style="114"/>
    <col min="13568" max="13568" width="10.5" style="114" customWidth="1"/>
    <col min="13569" max="13569" width="9.5" style="114" bestFit="1" customWidth="1"/>
    <col min="13570" max="13570" width="18.25" style="114" customWidth="1"/>
    <col min="13571" max="13571" width="8.875" style="114" bestFit="1" customWidth="1"/>
    <col min="13572" max="13572" width="8.375" style="114" bestFit="1" customWidth="1"/>
    <col min="13573" max="13573" width="11.25" style="114" customWidth="1"/>
    <col min="13574" max="13578" width="9" style="114"/>
    <col min="13579" max="13579" width="8.5" style="114" customWidth="1"/>
    <col min="13580" max="13580" width="12.75" style="114" customWidth="1"/>
    <col min="13581" max="13823" width="9" style="114"/>
    <col min="13824" max="13824" width="10.5" style="114" customWidth="1"/>
    <col min="13825" max="13825" width="9.5" style="114" bestFit="1" customWidth="1"/>
    <col min="13826" max="13826" width="18.25" style="114" customWidth="1"/>
    <col min="13827" max="13827" width="8.875" style="114" bestFit="1" customWidth="1"/>
    <col min="13828" max="13828" width="8.375" style="114" bestFit="1" customWidth="1"/>
    <col min="13829" max="13829" width="11.25" style="114" customWidth="1"/>
    <col min="13830" max="13834" width="9" style="114"/>
    <col min="13835" max="13835" width="8.5" style="114" customWidth="1"/>
    <col min="13836" max="13836" width="12.75" style="114" customWidth="1"/>
    <col min="13837" max="14079" width="9" style="114"/>
    <col min="14080" max="14080" width="10.5" style="114" customWidth="1"/>
    <col min="14081" max="14081" width="9.5" style="114" bestFit="1" customWidth="1"/>
    <col min="14082" max="14082" width="18.25" style="114" customWidth="1"/>
    <col min="14083" max="14083" width="8.875" style="114" bestFit="1" customWidth="1"/>
    <col min="14084" max="14084" width="8.375" style="114" bestFit="1" customWidth="1"/>
    <col min="14085" max="14085" width="11.25" style="114" customWidth="1"/>
    <col min="14086" max="14090" width="9" style="114"/>
    <col min="14091" max="14091" width="8.5" style="114" customWidth="1"/>
    <col min="14092" max="14092" width="12.75" style="114" customWidth="1"/>
    <col min="14093" max="14335" width="9" style="114"/>
    <col min="14336" max="14336" width="10.5" style="114" customWidth="1"/>
    <col min="14337" max="14337" width="9.5" style="114" bestFit="1" customWidth="1"/>
    <col min="14338" max="14338" width="18.25" style="114" customWidth="1"/>
    <col min="14339" max="14339" width="8.875" style="114" bestFit="1" customWidth="1"/>
    <col min="14340" max="14340" width="8.375" style="114" bestFit="1" customWidth="1"/>
    <col min="14341" max="14341" width="11.25" style="114" customWidth="1"/>
    <col min="14342" max="14346" width="9" style="114"/>
    <col min="14347" max="14347" width="8.5" style="114" customWidth="1"/>
    <col min="14348" max="14348" width="12.75" style="114" customWidth="1"/>
    <col min="14349" max="14591" width="9" style="114"/>
    <col min="14592" max="14592" width="10.5" style="114" customWidth="1"/>
    <col min="14593" max="14593" width="9.5" style="114" bestFit="1" customWidth="1"/>
    <col min="14594" max="14594" width="18.25" style="114" customWidth="1"/>
    <col min="14595" max="14595" width="8.875" style="114" bestFit="1" customWidth="1"/>
    <col min="14596" max="14596" width="8.375" style="114" bestFit="1" customWidth="1"/>
    <col min="14597" max="14597" width="11.25" style="114" customWidth="1"/>
    <col min="14598" max="14602" width="9" style="114"/>
    <col min="14603" max="14603" width="8.5" style="114" customWidth="1"/>
    <col min="14604" max="14604" width="12.75" style="114" customWidth="1"/>
    <col min="14605" max="14847" width="9" style="114"/>
    <col min="14848" max="14848" width="10.5" style="114" customWidth="1"/>
    <col min="14849" max="14849" width="9.5" style="114" bestFit="1" customWidth="1"/>
    <col min="14850" max="14850" width="18.25" style="114" customWidth="1"/>
    <col min="14851" max="14851" width="8.875" style="114" bestFit="1" customWidth="1"/>
    <col min="14852" max="14852" width="8.375" style="114" bestFit="1" customWidth="1"/>
    <col min="14853" max="14853" width="11.25" style="114" customWidth="1"/>
    <col min="14854" max="14858" width="9" style="114"/>
    <col min="14859" max="14859" width="8.5" style="114" customWidth="1"/>
    <col min="14860" max="14860" width="12.75" style="114" customWidth="1"/>
    <col min="14861" max="15103" width="9" style="114"/>
    <col min="15104" max="15104" width="10.5" style="114" customWidth="1"/>
    <col min="15105" max="15105" width="9.5" style="114" bestFit="1" customWidth="1"/>
    <col min="15106" max="15106" width="18.25" style="114" customWidth="1"/>
    <col min="15107" max="15107" width="8.875" style="114" bestFit="1" customWidth="1"/>
    <col min="15108" max="15108" width="8.375" style="114" bestFit="1" customWidth="1"/>
    <col min="15109" max="15109" width="11.25" style="114" customWidth="1"/>
    <col min="15110" max="15114" width="9" style="114"/>
    <col min="15115" max="15115" width="8.5" style="114" customWidth="1"/>
    <col min="15116" max="15116" width="12.75" style="114" customWidth="1"/>
    <col min="15117" max="15359" width="9" style="114"/>
    <col min="15360" max="15360" width="10.5" style="114" customWidth="1"/>
    <col min="15361" max="15361" width="9.5" style="114" bestFit="1" customWidth="1"/>
    <col min="15362" max="15362" width="18.25" style="114" customWidth="1"/>
    <col min="15363" max="15363" width="8.875" style="114" bestFit="1" customWidth="1"/>
    <col min="15364" max="15364" width="8.375" style="114" bestFit="1" customWidth="1"/>
    <col min="15365" max="15365" width="11.25" style="114" customWidth="1"/>
    <col min="15366" max="15370" width="9" style="114"/>
    <col min="15371" max="15371" width="8.5" style="114" customWidth="1"/>
    <col min="15372" max="15372" width="12.75" style="114" customWidth="1"/>
    <col min="15373" max="15615" width="9" style="114"/>
    <col min="15616" max="15616" width="10.5" style="114" customWidth="1"/>
    <col min="15617" max="15617" width="9.5" style="114" bestFit="1" customWidth="1"/>
    <col min="15618" max="15618" width="18.25" style="114" customWidth="1"/>
    <col min="15619" max="15619" width="8.875" style="114" bestFit="1" customWidth="1"/>
    <col min="15620" max="15620" width="8.375" style="114" bestFit="1" customWidth="1"/>
    <col min="15621" max="15621" width="11.25" style="114" customWidth="1"/>
    <col min="15622" max="15626" width="9" style="114"/>
    <col min="15627" max="15627" width="8.5" style="114" customWidth="1"/>
    <col min="15628" max="15628" width="12.75" style="114" customWidth="1"/>
    <col min="15629" max="15871" width="9" style="114"/>
    <col min="15872" max="15872" width="10.5" style="114" customWidth="1"/>
    <col min="15873" max="15873" width="9.5" style="114" bestFit="1" customWidth="1"/>
    <col min="15874" max="15874" width="18.25" style="114" customWidth="1"/>
    <col min="15875" max="15875" width="8.875" style="114" bestFit="1" customWidth="1"/>
    <col min="15876" max="15876" width="8.375" style="114" bestFit="1" customWidth="1"/>
    <col min="15877" max="15877" width="11.25" style="114" customWidth="1"/>
    <col min="15878" max="15882" width="9" style="114"/>
    <col min="15883" max="15883" width="8.5" style="114" customWidth="1"/>
    <col min="15884" max="15884" width="12.75" style="114" customWidth="1"/>
    <col min="15885" max="16127" width="9" style="114"/>
    <col min="16128" max="16128" width="10.5" style="114" customWidth="1"/>
    <col min="16129" max="16129" width="9.5" style="114" bestFit="1" customWidth="1"/>
    <col min="16130" max="16130" width="18.25" style="114" customWidth="1"/>
    <col min="16131" max="16131" width="8.875" style="114" bestFit="1" customWidth="1"/>
    <col min="16132" max="16132" width="8.375" style="114" bestFit="1" customWidth="1"/>
    <col min="16133" max="16133" width="11.25" style="114" customWidth="1"/>
    <col min="16134" max="16138" width="9" style="114"/>
    <col min="16139" max="16139" width="8.5" style="114" customWidth="1"/>
    <col min="16140" max="16140" width="12.75" style="114" customWidth="1"/>
    <col min="16141" max="16384" width="9" style="114"/>
  </cols>
  <sheetData>
    <row r="1" spans="1:15" x14ac:dyDescent="0.2">
      <c r="C1" s="115" t="s">
        <v>436</v>
      </c>
    </row>
    <row r="2" spans="1:15" x14ac:dyDescent="0.2">
      <c r="C2" s="117" t="s">
        <v>437</v>
      </c>
      <c r="E2" s="118">
        <f>2200/8800</f>
        <v>0.25</v>
      </c>
    </row>
    <row r="3" spans="1:15" x14ac:dyDescent="0.2">
      <c r="C3" s="117" t="s">
        <v>438</v>
      </c>
      <c r="E3" s="118">
        <f>3300/8800</f>
        <v>0.375</v>
      </c>
    </row>
    <row r="4" spans="1:15" x14ac:dyDescent="0.2">
      <c r="C4" s="117" t="s">
        <v>439</v>
      </c>
      <c r="E4" s="118">
        <f>2750/8800</f>
        <v>0.3125</v>
      </c>
    </row>
    <row r="6" spans="1:15" x14ac:dyDescent="0.2">
      <c r="C6" s="115" t="s">
        <v>440</v>
      </c>
      <c r="K6" s="119" t="s">
        <v>441</v>
      </c>
    </row>
    <row r="7" spans="1:15" x14ac:dyDescent="0.2">
      <c r="C7" s="115" t="s">
        <v>294</v>
      </c>
      <c r="E7" s="120" t="s">
        <v>442</v>
      </c>
      <c r="J7" s="114" t="s">
        <v>443</v>
      </c>
      <c r="K7" s="119" t="s">
        <v>444</v>
      </c>
    </row>
    <row r="8" spans="1:15" x14ac:dyDescent="0.2">
      <c r="A8" s="121"/>
      <c r="B8" s="122" t="s">
        <v>445</v>
      </c>
      <c r="C8" s="121" t="s">
        <v>446</v>
      </c>
      <c r="D8" s="133">
        <f>C43</f>
        <v>3300000</v>
      </c>
      <c r="E8" s="116">
        <v>1</v>
      </c>
      <c r="K8" s="114" t="s">
        <v>125</v>
      </c>
      <c r="M8" s="133">
        <f>0.25*(D50+D51+500000*6/12)</f>
        <v>1600000</v>
      </c>
      <c r="O8" s="133">
        <f>M8/0.25</f>
        <v>6400000</v>
      </c>
    </row>
    <row r="9" spans="1:15" x14ac:dyDescent="0.2">
      <c r="A9" s="121"/>
      <c r="B9" s="122" t="s">
        <v>447</v>
      </c>
      <c r="C9" s="121" t="s">
        <v>448</v>
      </c>
      <c r="D9" s="134">
        <f>0.25*500000*6/12</f>
        <v>62500</v>
      </c>
      <c r="G9" s="122" t="s">
        <v>449</v>
      </c>
      <c r="K9" s="114" t="s">
        <v>450</v>
      </c>
      <c r="M9" s="133">
        <f>0.25*(1700000-700000)*0.75</f>
        <v>187500</v>
      </c>
    </row>
    <row r="10" spans="1:15" x14ac:dyDescent="0.2">
      <c r="A10" s="121"/>
      <c r="B10" s="122" t="s">
        <v>447</v>
      </c>
      <c r="C10" s="123" t="s">
        <v>451</v>
      </c>
      <c r="D10" s="134"/>
      <c r="E10" s="124"/>
      <c r="K10" s="114" t="s">
        <v>452</v>
      </c>
      <c r="M10" s="133">
        <f>0.25*(E110)*0.75</f>
        <v>-1875</v>
      </c>
    </row>
    <row r="11" spans="1:15" x14ac:dyDescent="0.2">
      <c r="A11" s="121"/>
      <c r="B11" s="122"/>
      <c r="C11" s="121" t="s">
        <v>3</v>
      </c>
      <c r="D11" s="134">
        <f>-D66*0.75</f>
        <v>-28125</v>
      </c>
      <c r="G11" s="122"/>
      <c r="K11" s="114" t="s">
        <v>453</v>
      </c>
      <c r="M11" s="133">
        <f>0.25*(5500000-4600000*11/11.5)*0.75</f>
        <v>206250</v>
      </c>
    </row>
    <row r="12" spans="1:15" x14ac:dyDescent="0.2">
      <c r="A12" s="121"/>
      <c r="B12" s="122"/>
      <c r="C12" s="121" t="s">
        <v>454</v>
      </c>
      <c r="D12" s="134">
        <f>-0.25*(D77-D81)*0.75</f>
        <v>-7491.3682763210381</v>
      </c>
      <c r="E12" s="116">
        <v>2</v>
      </c>
      <c r="K12" s="125" t="s">
        <v>455</v>
      </c>
    </row>
    <row r="13" spans="1:15" x14ac:dyDescent="0.2">
      <c r="A13" s="121"/>
      <c r="B13" s="122"/>
      <c r="C13" s="121" t="s">
        <v>456</v>
      </c>
      <c r="D13" s="134">
        <f>0.25*(1700000-1500000)*0.75</f>
        <v>37500</v>
      </c>
      <c r="K13" s="114" t="s">
        <v>454</v>
      </c>
      <c r="M13" s="133">
        <f>D81*0.25</f>
        <v>63282.366649704287</v>
      </c>
    </row>
    <row r="14" spans="1:15" x14ac:dyDescent="0.2">
      <c r="A14" s="121"/>
      <c r="B14" s="122" t="s">
        <v>447</v>
      </c>
      <c r="C14" s="121" t="s">
        <v>452</v>
      </c>
      <c r="D14" s="134">
        <f>0.25*(E110-D53/0.75)*0.75</f>
        <v>16875</v>
      </c>
      <c r="E14" s="116">
        <v>3</v>
      </c>
      <c r="G14" s="122"/>
      <c r="K14" s="114" t="s">
        <v>37</v>
      </c>
      <c r="M14" s="133">
        <f>-M13*0.25</f>
        <v>-15820.591662426072</v>
      </c>
    </row>
    <row r="15" spans="1:15" ht="13.5" thickBot="1" x14ac:dyDescent="0.25">
      <c r="A15" s="121"/>
      <c r="B15" s="122" t="s">
        <v>447</v>
      </c>
      <c r="C15" s="123" t="s">
        <v>457</v>
      </c>
      <c r="D15" s="134"/>
      <c r="E15" s="116">
        <v>4</v>
      </c>
      <c r="K15" s="114" t="s">
        <v>67</v>
      </c>
      <c r="M15" s="137">
        <f>D70</f>
        <v>1435671.8567364006</v>
      </c>
    </row>
    <row r="16" spans="1:15" x14ac:dyDescent="0.2">
      <c r="A16" s="121"/>
      <c r="C16" s="121" t="s">
        <v>458</v>
      </c>
      <c r="D16" s="134">
        <f>-0.25*E123*0.75</f>
        <v>-4891.3043478260879</v>
      </c>
      <c r="M16" s="133">
        <f>SUM(M8:M15)</f>
        <v>3475008.6317236787</v>
      </c>
      <c r="N16" s="133">
        <f>M16-D18</f>
        <v>0</v>
      </c>
    </row>
    <row r="17" spans="1:16" ht="13.5" thickBot="1" x14ac:dyDescent="0.25">
      <c r="A17" s="121"/>
      <c r="C17" s="121" t="s">
        <v>459</v>
      </c>
      <c r="D17" s="135">
        <f>E127*0.25*0.75</f>
        <v>98641.30434782611</v>
      </c>
    </row>
    <row r="18" spans="1:16" x14ac:dyDescent="0.2">
      <c r="A18" s="121"/>
      <c r="B18" s="122" t="s">
        <v>443</v>
      </c>
      <c r="D18" s="134">
        <f>SUM(D8:D17)</f>
        <v>3475008.6317236791</v>
      </c>
      <c r="J18" s="114" t="s">
        <v>306</v>
      </c>
      <c r="K18" s="119" t="s">
        <v>444</v>
      </c>
    </row>
    <row r="19" spans="1:16" x14ac:dyDescent="0.2">
      <c r="A19" s="121"/>
      <c r="C19" s="121" t="s">
        <v>460</v>
      </c>
      <c r="D19" s="134">
        <f>F96</f>
        <v>-3124.0191576046636</v>
      </c>
      <c r="E19" s="116">
        <v>5</v>
      </c>
      <c r="K19" s="114" t="s">
        <v>125</v>
      </c>
      <c r="M19" s="133">
        <f>0.25*(O8+500000+E135*0.75)</f>
        <v>1987500</v>
      </c>
      <c r="O19" s="133">
        <f>M19/0.25</f>
        <v>7950000</v>
      </c>
    </row>
    <row r="20" spans="1:16" x14ac:dyDescent="0.2">
      <c r="A20" s="121"/>
      <c r="C20" s="121" t="s">
        <v>448</v>
      </c>
      <c r="D20" s="134">
        <f>500000*0.25</f>
        <v>125000</v>
      </c>
      <c r="K20" s="114" t="s">
        <v>450</v>
      </c>
      <c r="M20" s="133">
        <v>0</v>
      </c>
    </row>
    <row r="21" spans="1:16" x14ac:dyDescent="0.2">
      <c r="A21" s="121"/>
      <c r="C21" s="123" t="s">
        <v>451</v>
      </c>
      <c r="D21" s="134"/>
      <c r="K21" s="114" t="s">
        <v>452</v>
      </c>
      <c r="M21" s="133">
        <f>0.25*E114*0.75</f>
        <v>3750</v>
      </c>
      <c r="O21" s="133">
        <f>M21/0.25</f>
        <v>15000</v>
      </c>
    </row>
    <row r="22" spans="1:16" x14ac:dyDescent="0.2">
      <c r="A22" s="121"/>
      <c r="C22" s="121" t="s">
        <v>454</v>
      </c>
      <c r="D22" s="134">
        <f>-0.25*(D105-D85)*0.75</f>
        <v>-21130.728775356954</v>
      </c>
      <c r="E22" s="116">
        <v>2</v>
      </c>
      <c r="K22" s="125" t="s">
        <v>455</v>
      </c>
    </row>
    <row r="23" spans="1:16" x14ac:dyDescent="0.2">
      <c r="A23" s="121"/>
      <c r="C23" s="121" t="s">
        <v>461</v>
      </c>
      <c r="D23" s="134">
        <f>-M9</f>
        <v>-187500</v>
      </c>
      <c r="K23" s="114" t="s">
        <v>454</v>
      </c>
      <c r="M23" s="133">
        <f>0.25*D85</f>
        <v>65082.644628099166</v>
      </c>
    </row>
    <row r="24" spans="1:16" x14ac:dyDescent="0.2">
      <c r="A24" s="121"/>
      <c r="C24" s="121" t="s">
        <v>452</v>
      </c>
      <c r="D24" s="134">
        <f>0.25*(E114-E110)*0.75</f>
        <v>5625</v>
      </c>
      <c r="E24" s="116">
        <v>3</v>
      </c>
      <c r="K24" s="114" t="s">
        <v>37</v>
      </c>
      <c r="M24" s="133">
        <f>-M23*0.25</f>
        <v>-16270.661157024791</v>
      </c>
    </row>
    <row r="25" spans="1:16" ht="13.5" thickBot="1" x14ac:dyDescent="0.25">
      <c r="A25" s="121"/>
      <c r="C25" s="123" t="s">
        <v>457</v>
      </c>
      <c r="D25" s="134"/>
      <c r="E25" s="116">
        <v>4</v>
      </c>
      <c r="K25" s="114" t="s">
        <v>67</v>
      </c>
      <c r="M25" s="137">
        <f>M15+F95</f>
        <v>1410066.9003196429</v>
      </c>
    </row>
    <row r="26" spans="1:16" x14ac:dyDescent="0.2">
      <c r="A26" s="121"/>
      <c r="C26" s="121" t="s">
        <v>458</v>
      </c>
      <c r="D26" s="134">
        <f>-0.25*E131*0.75</f>
        <v>-18750</v>
      </c>
      <c r="M26" s="133">
        <f>SUM(M19:M25)</f>
        <v>3450128.8837907175</v>
      </c>
      <c r="N26" s="133">
        <f>M26-D28</f>
        <v>0</v>
      </c>
      <c r="O26" s="133">
        <f>M26-D28</f>
        <v>0</v>
      </c>
      <c r="P26" s="114">
        <f>O26/0.25</f>
        <v>0</v>
      </c>
    </row>
    <row r="27" spans="1:16" x14ac:dyDescent="0.2">
      <c r="A27" s="121"/>
      <c r="C27" s="121" t="s">
        <v>459</v>
      </c>
      <c r="D27" s="136">
        <f>E133*0.25*0.75</f>
        <v>75000</v>
      </c>
    </row>
    <row r="28" spans="1:16" x14ac:dyDescent="0.2">
      <c r="A28" s="121"/>
      <c r="B28" s="122" t="s">
        <v>306</v>
      </c>
      <c r="D28" s="134">
        <f>SUM(D18:D27)</f>
        <v>3450128.8837907175</v>
      </c>
      <c r="J28" s="114" t="s">
        <v>318</v>
      </c>
      <c r="K28" s="119" t="s">
        <v>444</v>
      </c>
    </row>
    <row r="29" spans="1:16" x14ac:dyDescent="0.2">
      <c r="A29" s="121"/>
      <c r="B29" s="122" t="s">
        <v>462</v>
      </c>
      <c r="C29" s="121" t="s">
        <v>446</v>
      </c>
      <c r="D29" s="134">
        <f>C138</f>
        <v>1300000</v>
      </c>
      <c r="E29" s="116">
        <v>6</v>
      </c>
      <c r="K29" s="114" t="s">
        <v>125</v>
      </c>
      <c r="M29" s="133">
        <f>E4*(O19+500000+E166)</f>
        <v>2720312.5</v>
      </c>
    </row>
    <row r="30" spans="1:16" x14ac:dyDescent="0.2">
      <c r="A30" s="121"/>
      <c r="C30" s="121" t="s">
        <v>448</v>
      </c>
      <c r="D30" s="134">
        <f>E3*500000</f>
        <v>187500</v>
      </c>
      <c r="K30" s="114" t="s">
        <v>450</v>
      </c>
      <c r="M30" s="133">
        <v>0</v>
      </c>
    </row>
    <row r="31" spans="1:16" x14ac:dyDescent="0.2">
      <c r="A31" s="121"/>
      <c r="C31" s="123" t="s">
        <v>463</v>
      </c>
      <c r="D31" s="134"/>
      <c r="K31" s="114" t="s">
        <v>464</v>
      </c>
      <c r="M31" s="133">
        <v>0</v>
      </c>
    </row>
    <row r="32" spans="1:16" x14ac:dyDescent="0.2">
      <c r="A32" s="121"/>
      <c r="C32" s="121" t="s">
        <v>454</v>
      </c>
      <c r="D32" s="134">
        <f>E153</f>
        <v>-21539.256198347033</v>
      </c>
      <c r="E32" s="116">
        <v>7</v>
      </c>
      <c r="K32" s="125" t="s">
        <v>455</v>
      </c>
    </row>
    <row r="33" spans="1:17" x14ac:dyDescent="0.2">
      <c r="A33" s="121"/>
      <c r="C33" s="121" t="s">
        <v>452</v>
      </c>
      <c r="D33" s="134">
        <f>E158*E3</f>
        <v>-5625</v>
      </c>
      <c r="E33" s="116">
        <v>8</v>
      </c>
      <c r="K33" s="114" t="s">
        <v>454</v>
      </c>
      <c r="M33" s="133">
        <f>E154/0.8*(E4/E3)</f>
        <v>28409.090909090981</v>
      </c>
    </row>
    <row r="34" spans="1:17" x14ac:dyDescent="0.2">
      <c r="A34" s="121"/>
      <c r="C34" s="121" t="s">
        <v>465</v>
      </c>
      <c r="D34" s="136">
        <f>0.375*E166</f>
        <v>95625</v>
      </c>
      <c r="E34" s="116">
        <v>9</v>
      </c>
      <c r="K34" s="114" t="s">
        <v>37</v>
      </c>
      <c r="M34" s="133">
        <f>-M33*0.2</f>
        <v>-5681.8181818181965</v>
      </c>
    </row>
    <row r="35" spans="1:17" ht="13.5" thickBot="1" x14ac:dyDescent="0.25">
      <c r="A35" s="121"/>
      <c r="B35" s="122" t="s">
        <v>318</v>
      </c>
      <c r="C35" s="121" t="s">
        <v>466</v>
      </c>
      <c r="D35" s="134">
        <f>SUM(D28:D34)</f>
        <v>5006089.6275923708</v>
      </c>
      <c r="K35" s="114" t="s">
        <v>67</v>
      </c>
      <c r="M35" s="137">
        <f>(M25+C140)*E4/E3</f>
        <v>1428701.5835997025</v>
      </c>
    </row>
    <row r="36" spans="1:17" x14ac:dyDescent="0.2">
      <c r="A36" s="121"/>
      <c r="C36" s="121" t="s">
        <v>467</v>
      </c>
      <c r="D36" s="136">
        <f>D37-D35</f>
        <v>-834348.27126539545</v>
      </c>
      <c r="E36" s="116">
        <v>10</v>
      </c>
      <c r="F36" s="114">
        <f>-D35*(E3-E4)/E3</f>
        <v>-834348.2712653951</v>
      </c>
      <c r="M36" s="133">
        <f>SUM(M29:M35)</f>
        <v>4171741.3563269749</v>
      </c>
      <c r="N36" s="133">
        <f>M36-D37</f>
        <v>0</v>
      </c>
      <c r="P36" s="114">
        <f>M36-D37</f>
        <v>0</v>
      </c>
      <c r="Q36" s="114">
        <f>P36/E4</f>
        <v>0</v>
      </c>
    </row>
    <row r="37" spans="1:17" x14ac:dyDescent="0.2">
      <c r="A37" s="121"/>
      <c r="C37" s="121" t="s">
        <v>468</v>
      </c>
      <c r="D37" s="134">
        <f>0.3125*(D35/0.375)</f>
        <v>4171741.3563269754</v>
      </c>
    </row>
    <row r="38" spans="1:17" x14ac:dyDescent="0.2">
      <c r="A38" s="121"/>
      <c r="D38" s="122"/>
    </row>
    <row r="39" spans="1:17" x14ac:dyDescent="0.2">
      <c r="A39" s="121"/>
      <c r="D39" s="122"/>
      <c r="K39" s="119" t="s">
        <v>469</v>
      </c>
    </row>
    <row r="40" spans="1:17" x14ac:dyDescent="0.2">
      <c r="A40" s="121"/>
      <c r="D40" s="122"/>
      <c r="J40" s="114">
        <v>2011</v>
      </c>
      <c r="K40" s="114" t="s">
        <v>448</v>
      </c>
      <c r="M40" s="133">
        <f>D9+D11+D12+D14+D16</f>
        <v>38867.327375852874</v>
      </c>
    </row>
    <row r="41" spans="1:17" x14ac:dyDescent="0.2">
      <c r="D41" s="122"/>
      <c r="K41" s="114" t="s">
        <v>470</v>
      </c>
      <c r="M41" s="133">
        <f>D13</f>
        <v>37500</v>
      </c>
    </row>
    <row r="42" spans="1:17" x14ac:dyDescent="0.2">
      <c r="A42" s="128">
        <v>1</v>
      </c>
      <c r="B42" s="119" t="s">
        <v>471</v>
      </c>
      <c r="C42" s="114"/>
      <c r="K42" s="114" t="s">
        <v>472</v>
      </c>
      <c r="M42" s="133">
        <f>D17</f>
        <v>98641.30434782611</v>
      </c>
    </row>
    <row r="43" spans="1:17" x14ac:dyDescent="0.2">
      <c r="B43" s="114" t="s">
        <v>0</v>
      </c>
      <c r="C43" s="114">
        <v>3300000</v>
      </c>
      <c r="G43" s="122"/>
    </row>
    <row r="44" spans="1:17" ht="13.5" thickBot="1" x14ac:dyDescent="0.25">
      <c r="B44" s="114" t="s">
        <v>473</v>
      </c>
      <c r="C44" s="126">
        <f>2200/8800*D55</f>
        <v>1781250</v>
      </c>
      <c r="J44" s="114">
        <v>2012</v>
      </c>
      <c r="K44" s="114" t="s">
        <v>448</v>
      </c>
      <c r="M44" s="133">
        <f>D20+D22+D24+D26-M53</f>
        <v>-59255.728775356954</v>
      </c>
    </row>
    <row r="45" spans="1:17" x14ac:dyDescent="0.2">
      <c r="C45" s="114">
        <f>C43-C44</f>
        <v>1518750</v>
      </c>
      <c r="K45" s="114" t="s">
        <v>470</v>
      </c>
      <c r="M45" s="133">
        <f>D23+M54</f>
        <v>-37500</v>
      </c>
    </row>
    <row r="46" spans="1:17" x14ac:dyDescent="0.2">
      <c r="C46" s="114"/>
      <c r="K46" s="114" t="s">
        <v>472</v>
      </c>
      <c r="M46" s="133">
        <f>D27</f>
        <v>75000</v>
      </c>
    </row>
    <row r="47" spans="1:17" x14ac:dyDescent="0.2">
      <c r="C47" s="114"/>
    </row>
    <row r="48" spans="1:17" x14ac:dyDescent="0.2">
      <c r="C48" s="114"/>
      <c r="J48" s="114">
        <v>2013</v>
      </c>
      <c r="K48" s="114" t="s">
        <v>448</v>
      </c>
      <c r="M48" s="133">
        <f>D30+D32+D33</f>
        <v>160335.74380165298</v>
      </c>
    </row>
    <row r="49" spans="2:13" x14ac:dyDescent="0.2">
      <c r="B49" s="119" t="s">
        <v>474</v>
      </c>
      <c r="C49" s="114"/>
      <c r="K49" s="114" t="s">
        <v>472</v>
      </c>
      <c r="M49" s="133">
        <f>D34</f>
        <v>95625</v>
      </c>
    </row>
    <row r="50" spans="2:13" x14ac:dyDescent="0.2">
      <c r="B50" s="114" t="s">
        <v>475</v>
      </c>
      <c r="C50" s="114"/>
      <c r="D50" s="133">
        <f>2000000+D63</f>
        <v>2850000</v>
      </c>
      <c r="E50" s="139"/>
      <c r="K50" s="114" t="s">
        <v>476</v>
      </c>
      <c r="M50" s="133">
        <f>E173</f>
        <v>165651.72873460455</v>
      </c>
    </row>
    <row r="51" spans="2:13" x14ac:dyDescent="0.2">
      <c r="B51" s="114" t="s">
        <v>477</v>
      </c>
      <c r="C51" s="114"/>
      <c r="D51" s="133">
        <f>C43</f>
        <v>3300000</v>
      </c>
      <c r="E51" s="139"/>
    </row>
    <row r="52" spans="2:13" x14ac:dyDescent="0.2">
      <c r="B52" s="114" t="s">
        <v>461</v>
      </c>
      <c r="C52" s="114"/>
      <c r="D52" s="133">
        <f>(1500000-700000)*0.75</f>
        <v>600000</v>
      </c>
      <c r="E52" s="139"/>
      <c r="G52" s="122" t="s">
        <v>478</v>
      </c>
      <c r="J52" s="119" t="s">
        <v>479</v>
      </c>
    </row>
    <row r="53" spans="2:13" x14ac:dyDescent="0.2">
      <c r="B53" s="114" t="s">
        <v>452</v>
      </c>
      <c r="C53" s="114"/>
      <c r="D53" s="133">
        <f>(650000-750000)*0.75</f>
        <v>-75000</v>
      </c>
      <c r="E53" s="139"/>
      <c r="G53" s="122" t="s">
        <v>480</v>
      </c>
      <c r="K53" s="114" t="s">
        <v>481</v>
      </c>
      <c r="M53" s="133">
        <f>187500-37500</f>
        <v>150000</v>
      </c>
    </row>
    <row r="54" spans="2:13" ht="13.5" thickBot="1" x14ac:dyDescent="0.25">
      <c r="B54" s="114" t="s">
        <v>457</v>
      </c>
      <c r="C54" s="114"/>
      <c r="D54" s="137">
        <f>(5200000-4600000)*0.75</f>
        <v>450000</v>
      </c>
      <c r="E54" s="139"/>
      <c r="G54" s="122" t="s">
        <v>482</v>
      </c>
      <c r="K54" s="114" t="s">
        <v>483</v>
      </c>
      <c r="M54" s="133">
        <f>M53</f>
        <v>150000</v>
      </c>
    </row>
    <row r="55" spans="2:13" x14ac:dyDescent="0.2">
      <c r="C55" s="114"/>
      <c r="D55" s="133">
        <f>SUM(D50:D54)</f>
        <v>7125000</v>
      </c>
      <c r="E55" s="139"/>
    </row>
    <row r="56" spans="2:13" x14ac:dyDescent="0.2">
      <c r="C56" s="114"/>
      <c r="D56" s="133"/>
      <c r="E56" s="139"/>
    </row>
    <row r="57" spans="2:13" x14ac:dyDescent="0.2">
      <c r="C57" s="114"/>
      <c r="D57" s="133"/>
      <c r="E57" s="139"/>
    </row>
    <row r="58" spans="2:13" x14ac:dyDescent="0.2">
      <c r="B58" s="119" t="s">
        <v>484</v>
      </c>
      <c r="C58" s="114"/>
      <c r="D58" s="133"/>
      <c r="E58" s="139"/>
    </row>
    <row r="59" spans="2:13" x14ac:dyDescent="0.2">
      <c r="B59" s="114" t="s">
        <v>485</v>
      </c>
      <c r="C59" s="114"/>
      <c r="D59" s="133">
        <v>700000</v>
      </c>
      <c r="E59" s="139"/>
      <c r="G59" s="114" t="s">
        <v>446</v>
      </c>
    </row>
    <row r="60" spans="2:13" x14ac:dyDescent="0.2">
      <c r="B60" s="114" t="s">
        <v>3</v>
      </c>
      <c r="C60" s="114"/>
      <c r="D60" s="133">
        <v>750000</v>
      </c>
      <c r="E60" s="139"/>
      <c r="G60" s="114" t="s">
        <v>486</v>
      </c>
    </row>
    <row r="61" spans="2:13" x14ac:dyDescent="0.2">
      <c r="B61" s="114" t="s">
        <v>487</v>
      </c>
      <c r="C61" s="114"/>
      <c r="D61" s="133">
        <f>6000000*11.5/15</f>
        <v>4600000</v>
      </c>
      <c r="E61" s="139"/>
      <c r="G61" s="122" t="s">
        <v>488</v>
      </c>
    </row>
    <row r="62" spans="2:13" x14ac:dyDescent="0.2">
      <c r="B62" s="114" t="s">
        <v>454</v>
      </c>
      <c r="C62" s="114"/>
      <c r="D62" s="133">
        <v>5000000</v>
      </c>
      <c r="E62" s="139"/>
      <c r="G62" s="122"/>
    </row>
    <row r="63" spans="2:13" x14ac:dyDescent="0.2">
      <c r="B63" s="114" t="s">
        <v>489</v>
      </c>
      <c r="C63" s="114"/>
      <c r="D63" s="133">
        <f>1200000+700000+1900000+750000+4600000-1300000-D62-2000000</f>
        <v>850000</v>
      </c>
      <c r="E63" s="139"/>
      <c r="G63" s="114" t="s">
        <v>490</v>
      </c>
    </row>
    <row r="64" spans="2:13" x14ac:dyDescent="0.2">
      <c r="C64" s="114"/>
      <c r="D64" s="133"/>
      <c r="E64" s="139"/>
    </row>
    <row r="65" spans="1:9" x14ac:dyDescent="0.2">
      <c r="B65" s="119" t="s">
        <v>359</v>
      </c>
      <c r="C65" s="114"/>
      <c r="D65" s="133"/>
      <c r="E65" s="139"/>
    </row>
    <row r="66" spans="1:9" x14ac:dyDescent="0.2">
      <c r="B66" s="114" t="s">
        <v>3</v>
      </c>
      <c r="C66" s="114"/>
      <c r="D66" s="133">
        <f>0.25*(800000-650000)</f>
        <v>37500</v>
      </c>
      <c r="E66" s="139"/>
      <c r="G66" s="122"/>
    </row>
    <row r="67" spans="1:9" x14ac:dyDescent="0.2">
      <c r="B67" s="114" t="s">
        <v>37</v>
      </c>
      <c r="C67" s="114"/>
      <c r="D67" s="133">
        <f>-D66*0.25</f>
        <v>-9375</v>
      </c>
      <c r="E67" s="139"/>
    </row>
    <row r="68" spans="1:9" x14ac:dyDescent="0.2">
      <c r="B68" s="114" t="s">
        <v>454</v>
      </c>
      <c r="C68" s="114"/>
      <c r="D68" s="133">
        <f>0.25*D77</f>
        <v>73270.857684799004</v>
      </c>
      <c r="E68" s="139"/>
    </row>
    <row r="69" spans="1:9" x14ac:dyDescent="0.2">
      <c r="B69" s="114" t="s">
        <v>37</v>
      </c>
      <c r="C69" s="114"/>
      <c r="D69" s="133">
        <f>-D68*0.25</f>
        <v>-18317.714421199751</v>
      </c>
      <c r="E69" s="139"/>
    </row>
    <row r="70" spans="1:9" ht="13.5" thickBot="1" x14ac:dyDescent="0.25">
      <c r="B70" s="114" t="s">
        <v>67</v>
      </c>
      <c r="C70" s="114"/>
      <c r="D70" s="137">
        <f>D71-D69-D68-D67-D66</f>
        <v>1435671.8567364006</v>
      </c>
      <c r="E70" s="139"/>
      <c r="G70" s="114" t="s">
        <v>490</v>
      </c>
    </row>
    <row r="71" spans="1:9" x14ac:dyDescent="0.2">
      <c r="C71" s="114"/>
      <c r="D71" s="133">
        <f>C45</f>
        <v>1518750</v>
      </c>
      <c r="E71" s="139"/>
    </row>
    <row r="72" spans="1:9" x14ac:dyDescent="0.2">
      <c r="C72" s="114"/>
      <c r="D72" s="133"/>
      <c r="E72" s="139"/>
    </row>
    <row r="73" spans="1:9" x14ac:dyDescent="0.2">
      <c r="D73" s="134"/>
      <c r="E73" s="139"/>
    </row>
    <row r="74" spans="1:9" x14ac:dyDescent="0.2">
      <c r="A74" s="124">
        <v>2</v>
      </c>
      <c r="B74" s="119" t="s">
        <v>454</v>
      </c>
      <c r="C74" s="114"/>
      <c r="D74" s="133"/>
      <c r="E74" s="139"/>
    </row>
    <row r="75" spans="1:9" x14ac:dyDescent="0.2">
      <c r="A75" s="114" t="s">
        <v>491</v>
      </c>
      <c r="B75" s="114" t="s">
        <v>492</v>
      </c>
      <c r="C75" s="114" t="s">
        <v>493</v>
      </c>
      <c r="D75" s="134">
        <f>5000000+5000000*0.07*0.5</f>
        <v>5175000</v>
      </c>
      <c r="E75" s="133"/>
      <c r="I75" s="122" t="s">
        <v>523</v>
      </c>
    </row>
    <row r="76" spans="1:9" x14ac:dyDescent="0.2">
      <c r="C76" s="114" t="s">
        <v>378</v>
      </c>
      <c r="D76" s="140">
        <f>-(PV(0.09,4,350000,5000000)*1.09^0.5)</f>
        <v>4881916.569260804</v>
      </c>
      <c r="E76" s="139"/>
      <c r="I76" s="127" t="s">
        <v>494</v>
      </c>
    </row>
    <row r="77" spans="1:9" x14ac:dyDescent="0.2">
      <c r="C77" s="114"/>
      <c r="D77" s="133">
        <f>D75-D76</f>
        <v>293083.43073919602</v>
      </c>
      <c r="E77" s="139"/>
    </row>
    <row r="78" spans="1:9" x14ac:dyDescent="0.2">
      <c r="C78" s="114"/>
      <c r="D78" s="133"/>
      <c r="E78" s="139"/>
    </row>
    <row r="79" spans="1:9" x14ac:dyDescent="0.2">
      <c r="A79" s="114" t="s">
        <v>491</v>
      </c>
      <c r="B79" s="114" t="s">
        <v>443</v>
      </c>
      <c r="C79" s="114" t="s">
        <v>493</v>
      </c>
      <c r="D79" s="133">
        <v>5000000</v>
      </c>
      <c r="E79" s="139"/>
    </row>
    <row r="80" spans="1:9" x14ac:dyDescent="0.2">
      <c r="C80" s="114" t="s">
        <v>378</v>
      </c>
      <c r="D80" s="140">
        <f>-PV(0.09,3,350000,5000000)</f>
        <v>4746870.5334011829</v>
      </c>
      <c r="E80" s="139"/>
      <c r="I80" s="122" t="s">
        <v>495</v>
      </c>
    </row>
    <row r="81" spans="1:9" x14ac:dyDescent="0.2">
      <c r="C81" s="114"/>
      <c r="D81" s="133">
        <f>D79-D80</f>
        <v>253129.46659881715</v>
      </c>
      <c r="E81" s="139"/>
    </row>
    <row r="82" spans="1:9" x14ac:dyDescent="0.2">
      <c r="C82" s="114"/>
      <c r="D82" s="133"/>
      <c r="E82" s="139"/>
    </row>
    <row r="83" spans="1:9" x14ac:dyDescent="0.2">
      <c r="A83" s="114" t="s">
        <v>496</v>
      </c>
      <c r="B83" s="114" t="s">
        <v>306</v>
      </c>
      <c r="C83" s="114" t="s">
        <v>493</v>
      </c>
      <c r="D83" s="133">
        <v>5000000</v>
      </c>
      <c r="E83" s="139"/>
    </row>
    <row r="84" spans="1:9" x14ac:dyDescent="0.2">
      <c r="C84" s="114" t="s">
        <v>378</v>
      </c>
      <c r="D84" s="140">
        <f>-PV(0.1,2,350000,5000000)</f>
        <v>4739669.4214876033</v>
      </c>
      <c r="E84" s="139"/>
      <c r="I84" s="122" t="s">
        <v>497</v>
      </c>
    </row>
    <row r="85" spans="1:9" x14ac:dyDescent="0.2">
      <c r="C85" s="114"/>
      <c r="D85" s="133">
        <f>D83-D84</f>
        <v>260330.57851239666</v>
      </c>
      <c r="E85" s="139"/>
    </row>
    <row r="86" spans="1:9" x14ac:dyDescent="0.2">
      <c r="C86" s="114"/>
      <c r="D86" s="133"/>
      <c r="E86" s="139"/>
    </row>
    <row r="87" spans="1:9" x14ac:dyDescent="0.2">
      <c r="A87" s="114" t="s">
        <v>496</v>
      </c>
      <c r="B87" s="114" t="s">
        <v>318</v>
      </c>
      <c r="C87" s="114" t="s">
        <v>493</v>
      </c>
      <c r="D87" s="133">
        <v>5000000</v>
      </c>
      <c r="E87" s="139"/>
    </row>
    <row r="88" spans="1:9" x14ac:dyDescent="0.2">
      <c r="C88" s="114" t="s">
        <v>378</v>
      </c>
      <c r="D88" s="140">
        <f>-PV(0.1,1,350000,5000000)</f>
        <v>4863636.3636363633</v>
      </c>
      <c r="E88" s="139"/>
      <c r="I88" s="122" t="s">
        <v>498</v>
      </c>
    </row>
    <row r="89" spans="1:9" x14ac:dyDescent="0.2">
      <c r="C89" s="114"/>
      <c r="D89" s="133">
        <f>D87-D88</f>
        <v>136363.6363636367</v>
      </c>
      <c r="E89" s="139"/>
    </row>
    <row r="90" spans="1:9" x14ac:dyDescent="0.2">
      <c r="D90" s="133"/>
      <c r="E90" s="139"/>
    </row>
    <row r="91" spans="1:9" x14ac:dyDescent="0.2">
      <c r="D91" s="133"/>
      <c r="E91" s="139"/>
    </row>
    <row r="92" spans="1:9" x14ac:dyDescent="0.2">
      <c r="A92" s="124">
        <v>5</v>
      </c>
      <c r="B92" s="119" t="s">
        <v>460</v>
      </c>
      <c r="C92" s="114"/>
      <c r="D92" s="141" t="s">
        <v>445</v>
      </c>
      <c r="E92" s="133"/>
      <c r="F92" s="129" t="s">
        <v>499</v>
      </c>
    </row>
    <row r="93" spans="1:9" x14ac:dyDescent="0.2">
      <c r="C93" s="114" t="s">
        <v>454</v>
      </c>
      <c r="D93" s="139">
        <f>0.25*(D76-D100)</f>
        <v>34139.94188901037</v>
      </c>
      <c r="E93" s="133"/>
      <c r="F93" s="116">
        <f>0.25*(D80-D104)</f>
        <v>29974.583012204152</v>
      </c>
    </row>
    <row r="94" spans="1:9" x14ac:dyDescent="0.2">
      <c r="C94" s="114" t="s">
        <v>37</v>
      </c>
      <c r="D94" s="139">
        <f>-D93*0.25</f>
        <v>-8534.9854722525924</v>
      </c>
      <c r="E94" s="133"/>
      <c r="F94" s="116">
        <f>-0.25*F93</f>
        <v>-7493.6457530510379</v>
      </c>
    </row>
    <row r="95" spans="1:9" ht="13.5" thickBot="1" x14ac:dyDescent="0.25">
      <c r="C95" s="114" t="s">
        <v>67</v>
      </c>
      <c r="D95" s="142">
        <f>-D93-D94</f>
        <v>-25604.956416757777</v>
      </c>
      <c r="E95" s="133"/>
      <c r="F95" s="130">
        <f>D95</f>
        <v>-25604.956416757777</v>
      </c>
    </row>
    <row r="96" spans="1:9" x14ac:dyDescent="0.2">
      <c r="C96" s="114"/>
      <c r="D96" s="139">
        <f>SUM(D93:D95)</f>
        <v>0</v>
      </c>
      <c r="E96" s="133"/>
      <c r="F96" s="116">
        <f>SUM(F93:F95)</f>
        <v>-3124.0191576046636</v>
      </c>
    </row>
    <row r="97" spans="1:9" x14ac:dyDescent="0.2">
      <c r="C97" s="114"/>
      <c r="D97" s="139"/>
      <c r="E97" s="133"/>
      <c r="F97" s="116"/>
    </row>
    <row r="98" spans="1:9" x14ac:dyDescent="0.2">
      <c r="C98" s="114"/>
      <c r="D98" s="139"/>
      <c r="E98" s="133"/>
      <c r="F98" s="116"/>
    </row>
    <row r="99" spans="1:9" x14ac:dyDescent="0.2">
      <c r="A99" s="114" t="s">
        <v>496</v>
      </c>
      <c r="B99" s="114" t="s">
        <v>492</v>
      </c>
      <c r="C99" s="114" t="s">
        <v>493</v>
      </c>
      <c r="D99" s="138">
        <f>D75</f>
        <v>5175000</v>
      </c>
      <c r="E99" s="139"/>
    </row>
    <row r="100" spans="1:9" x14ac:dyDescent="0.2">
      <c r="C100" s="114" t="s">
        <v>378</v>
      </c>
      <c r="D100" s="140">
        <f>-(PV(0.1,4,350000,5000000)*1.1^0.5)</f>
        <v>4745356.8017047625</v>
      </c>
      <c r="E100" s="139"/>
      <c r="I100" s="122" t="s">
        <v>500</v>
      </c>
    </row>
    <row r="101" spans="1:9" x14ac:dyDescent="0.2">
      <c r="C101" s="114"/>
      <c r="D101" s="133">
        <f>D99-D100</f>
        <v>429643.1982952375</v>
      </c>
      <c r="E101" s="139"/>
    </row>
    <row r="102" spans="1:9" x14ac:dyDescent="0.2">
      <c r="C102" s="114"/>
      <c r="D102" s="133"/>
      <c r="E102" s="139"/>
    </row>
    <row r="103" spans="1:9" x14ac:dyDescent="0.2">
      <c r="A103" s="114" t="s">
        <v>496</v>
      </c>
      <c r="B103" s="114" t="s">
        <v>443</v>
      </c>
      <c r="C103" s="114" t="s">
        <v>493</v>
      </c>
      <c r="D103" s="133">
        <v>5000000</v>
      </c>
      <c r="E103" s="139"/>
    </row>
    <row r="104" spans="1:9" x14ac:dyDescent="0.2">
      <c r="C104" s="114" t="s">
        <v>378</v>
      </c>
      <c r="D104" s="140">
        <f>-PV(0.1,3,350000,5000000)</f>
        <v>4626972.2013523662</v>
      </c>
      <c r="E104" s="139"/>
      <c r="I104" s="122" t="s">
        <v>501</v>
      </c>
    </row>
    <row r="105" spans="1:9" x14ac:dyDescent="0.2">
      <c r="C105" s="114"/>
      <c r="D105" s="133">
        <f>D103-D104</f>
        <v>373027.79864763375</v>
      </c>
      <c r="E105" s="139"/>
    </row>
    <row r="106" spans="1:9" x14ac:dyDescent="0.2">
      <c r="C106" s="114"/>
      <c r="D106" s="133"/>
      <c r="E106" s="139"/>
    </row>
    <row r="107" spans="1:9" x14ac:dyDescent="0.2">
      <c r="A107" s="124">
        <v>3</v>
      </c>
      <c r="B107" s="119" t="s">
        <v>452</v>
      </c>
      <c r="C107" s="114"/>
      <c r="D107" s="133"/>
      <c r="E107" s="139"/>
    </row>
    <row r="108" spans="1:9" x14ac:dyDescent="0.2">
      <c r="A108" s="114" t="s">
        <v>443</v>
      </c>
      <c r="B108" s="114" t="s">
        <v>3</v>
      </c>
      <c r="C108" s="121" t="s">
        <v>502</v>
      </c>
      <c r="D108" s="133"/>
      <c r="E108" s="139">
        <v>800000</v>
      </c>
    </row>
    <row r="109" spans="1:9" ht="13.5" thickBot="1" x14ac:dyDescent="0.25">
      <c r="C109" s="121" t="s">
        <v>503</v>
      </c>
      <c r="D109" s="133"/>
      <c r="E109" s="142">
        <v>790000</v>
      </c>
    </row>
    <row r="110" spans="1:9" x14ac:dyDescent="0.2">
      <c r="D110" s="133"/>
      <c r="E110" s="139">
        <f>E109-E108</f>
        <v>-10000</v>
      </c>
    </row>
    <row r="111" spans="1:9" x14ac:dyDescent="0.2">
      <c r="D111" s="133"/>
      <c r="E111" s="139"/>
    </row>
    <row r="112" spans="1:9" x14ac:dyDescent="0.2">
      <c r="A112" s="114" t="s">
        <v>306</v>
      </c>
      <c r="B112" s="114" t="s">
        <v>3</v>
      </c>
      <c r="C112" s="121" t="s">
        <v>502</v>
      </c>
      <c r="D112" s="133"/>
      <c r="E112" s="139">
        <v>750000</v>
      </c>
    </row>
    <row r="113" spans="1:5" ht="13.5" thickBot="1" x14ac:dyDescent="0.25">
      <c r="C113" s="121" t="s">
        <v>503</v>
      </c>
      <c r="D113" s="133"/>
      <c r="E113" s="142">
        <v>770000</v>
      </c>
    </row>
    <row r="114" spans="1:5" x14ac:dyDescent="0.2">
      <c r="D114" s="133"/>
      <c r="E114" s="139">
        <f>E113-E112</f>
        <v>20000</v>
      </c>
    </row>
    <row r="115" spans="1:5" x14ac:dyDescent="0.2">
      <c r="D115" s="133"/>
      <c r="E115" s="139"/>
    </row>
    <row r="116" spans="1:5" x14ac:dyDescent="0.2">
      <c r="A116" s="114" t="s">
        <v>318</v>
      </c>
      <c r="B116" s="114" t="s">
        <v>3</v>
      </c>
      <c r="C116" s="121" t="s">
        <v>502</v>
      </c>
      <c r="D116" s="133"/>
      <c r="E116" s="139">
        <v>700000</v>
      </c>
    </row>
    <row r="117" spans="1:5" ht="13.5" thickBot="1" x14ac:dyDescent="0.25">
      <c r="C117" s="121" t="s">
        <v>503</v>
      </c>
      <c r="D117" s="133"/>
      <c r="E117" s="142">
        <v>700000</v>
      </c>
    </row>
    <row r="118" spans="1:5" x14ac:dyDescent="0.2">
      <c r="D118" s="133"/>
      <c r="E118" s="139">
        <f>E117-E116</f>
        <v>0</v>
      </c>
    </row>
    <row r="119" spans="1:5" x14ac:dyDescent="0.2">
      <c r="C119" s="114"/>
      <c r="D119" s="133"/>
      <c r="E119" s="139"/>
    </row>
    <row r="120" spans="1:5" x14ac:dyDescent="0.2">
      <c r="A120" s="124">
        <v>4</v>
      </c>
      <c r="B120" s="119" t="s">
        <v>453</v>
      </c>
      <c r="D120" s="133"/>
      <c r="E120" s="139"/>
    </row>
    <row r="121" spans="1:5" x14ac:dyDescent="0.2">
      <c r="A121" s="122" t="s">
        <v>443</v>
      </c>
      <c r="B121" s="114" t="s">
        <v>458</v>
      </c>
      <c r="C121" s="121" t="s">
        <v>502</v>
      </c>
      <c r="D121" s="133"/>
      <c r="E121" s="139">
        <f>4600000*0.5/11.5</f>
        <v>200000</v>
      </c>
    </row>
    <row r="122" spans="1:5" ht="13.5" thickBot="1" x14ac:dyDescent="0.25">
      <c r="C122" s="121" t="s">
        <v>503</v>
      </c>
      <c r="D122" s="133"/>
      <c r="E122" s="142">
        <f>5200000*0.5/11.5</f>
        <v>226086.95652173914</v>
      </c>
    </row>
    <row r="123" spans="1:5" x14ac:dyDescent="0.2">
      <c r="D123" s="133"/>
      <c r="E123" s="139">
        <f>E122-E121</f>
        <v>26086.956521739135</v>
      </c>
    </row>
    <row r="124" spans="1:5" x14ac:dyDescent="0.2">
      <c r="D124" s="133"/>
      <c r="E124" s="139"/>
    </row>
    <row r="125" spans="1:5" x14ac:dyDescent="0.2">
      <c r="B125" s="114" t="s">
        <v>459</v>
      </c>
      <c r="C125" s="121" t="s">
        <v>504</v>
      </c>
      <c r="D125" s="133"/>
      <c r="E125" s="139">
        <v>0</v>
      </c>
    </row>
    <row r="126" spans="1:5" ht="13.5" thickBot="1" x14ac:dyDescent="0.25">
      <c r="C126" s="121" t="s">
        <v>505</v>
      </c>
      <c r="D126" s="133"/>
      <c r="E126" s="142">
        <f>5500000-5200000*11/11.5</f>
        <v>526086.95652173925</v>
      </c>
    </row>
    <row r="127" spans="1:5" x14ac:dyDescent="0.2">
      <c r="D127" s="133"/>
      <c r="E127" s="139">
        <f>E126-E125</f>
        <v>526086.95652173925</v>
      </c>
    </row>
    <row r="128" spans="1:5" x14ac:dyDescent="0.2">
      <c r="D128" s="133"/>
      <c r="E128" s="139"/>
    </row>
    <row r="129" spans="1:7" x14ac:dyDescent="0.2">
      <c r="A129" s="122" t="s">
        <v>306</v>
      </c>
      <c r="B129" s="114" t="s">
        <v>458</v>
      </c>
      <c r="C129" s="121" t="s">
        <v>504</v>
      </c>
      <c r="D129" s="133"/>
      <c r="E129" s="139">
        <f>E121*2</f>
        <v>400000</v>
      </c>
    </row>
    <row r="130" spans="1:7" ht="13.5" thickBot="1" x14ac:dyDescent="0.25">
      <c r="C130" s="121" t="s">
        <v>505</v>
      </c>
      <c r="D130" s="133"/>
      <c r="E130" s="142">
        <f>5500000*1/11</f>
        <v>500000</v>
      </c>
    </row>
    <row r="131" spans="1:7" x14ac:dyDescent="0.2">
      <c r="D131" s="133"/>
      <c r="E131" s="139">
        <f>E130-E129</f>
        <v>100000</v>
      </c>
    </row>
    <row r="132" spans="1:7" x14ac:dyDescent="0.2">
      <c r="D132" s="133"/>
      <c r="E132" s="139"/>
    </row>
    <row r="133" spans="1:7" ht="13.5" thickBot="1" x14ac:dyDescent="0.25">
      <c r="B133" s="114" t="s">
        <v>459</v>
      </c>
      <c r="C133" s="121" t="s">
        <v>506</v>
      </c>
      <c r="D133" s="133"/>
      <c r="E133" s="142">
        <f>5400000-(5500000-E130)</f>
        <v>400000</v>
      </c>
    </row>
    <row r="134" spans="1:7" x14ac:dyDescent="0.2">
      <c r="D134" s="133"/>
      <c r="E134" s="139"/>
    </row>
    <row r="135" spans="1:7" x14ac:dyDescent="0.2">
      <c r="B135" s="114" t="s">
        <v>507</v>
      </c>
      <c r="D135" s="133"/>
      <c r="E135" s="139">
        <f>5400000-(6000000*10/15)</f>
        <v>1400000</v>
      </c>
    </row>
    <row r="136" spans="1:7" x14ac:dyDescent="0.2">
      <c r="D136" s="133"/>
      <c r="E136" s="139"/>
    </row>
    <row r="137" spans="1:7" x14ac:dyDescent="0.2">
      <c r="A137" s="124">
        <v>6</v>
      </c>
      <c r="B137" s="119" t="s">
        <v>508</v>
      </c>
      <c r="C137" s="114"/>
      <c r="D137" s="133"/>
      <c r="E137" s="139"/>
    </row>
    <row r="138" spans="1:7" x14ac:dyDescent="0.2">
      <c r="B138" s="114" t="s">
        <v>0</v>
      </c>
      <c r="C138" s="133">
        <v>1300000</v>
      </c>
      <c r="D138" s="133"/>
      <c r="E138" s="139"/>
      <c r="G138" s="122"/>
    </row>
    <row r="139" spans="1:7" ht="13.5" thickBot="1" x14ac:dyDescent="0.25">
      <c r="B139" s="114" t="s">
        <v>473</v>
      </c>
      <c r="C139" s="137">
        <f>1100/8800*D148</f>
        <v>995625</v>
      </c>
      <c r="D139" s="133"/>
      <c r="E139" s="139"/>
    </row>
    <row r="140" spans="1:7" x14ac:dyDescent="0.2">
      <c r="C140" s="133">
        <f>C138-C139</f>
        <v>304375</v>
      </c>
      <c r="D140" s="133"/>
      <c r="E140" s="143" t="s">
        <v>509</v>
      </c>
    </row>
    <row r="141" spans="1:7" x14ac:dyDescent="0.2">
      <c r="C141" s="114"/>
      <c r="D141" s="133"/>
      <c r="E141" s="143"/>
    </row>
    <row r="142" spans="1:7" x14ac:dyDescent="0.2">
      <c r="C142" s="114"/>
      <c r="D142" s="133"/>
      <c r="E142" s="143"/>
    </row>
    <row r="143" spans="1:7" x14ac:dyDescent="0.2">
      <c r="C143" s="114"/>
      <c r="D143" s="133"/>
      <c r="E143" s="143"/>
    </row>
    <row r="144" spans="1:7" x14ac:dyDescent="0.2">
      <c r="C144" s="114"/>
      <c r="D144" s="133"/>
      <c r="E144" s="139"/>
    </row>
    <row r="145" spans="1:7" x14ac:dyDescent="0.2">
      <c r="B145" s="119" t="s">
        <v>474</v>
      </c>
      <c r="C145" s="114"/>
      <c r="D145" s="133"/>
      <c r="E145" s="139"/>
    </row>
    <row r="146" spans="1:7" x14ac:dyDescent="0.2">
      <c r="B146" s="114" t="s">
        <v>475</v>
      </c>
      <c r="C146" s="114"/>
      <c r="D146" s="133">
        <f>O19</f>
        <v>7950000</v>
      </c>
      <c r="E146" s="139"/>
    </row>
    <row r="147" spans="1:7" x14ac:dyDescent="0.2">
      <c r="B147" s="114" t="s">
        <v>452</v>
      </c>
      <c r="C147" s="114"/>
      <c r="D147" s="140">
        <f>O21</f>
        <v>15000</v>
      </c>
      <c r="E147" s="139"/>
      <c r="G147" s="122"/>
    </row>
    <row r="148" spans="1:7" x14ac:dyDescent="0.2">
      <c r="D148" s="133">
        <f>D146+D147</f>
        <v>7965000</v>
      </c>
      <c r="E148" s="139"/>
    </row>
    <row r="149" spans="1:7" x14ac:dyDescent="0.2">
      <c r="D149" s="133"/>
      <c r="E149" s="139"/>
    </row>
    <row r="150" spans="1:7" x14ac:dyDescent="0.2">
      <c r="C150" s="114"/>
      <c r="D150" s="133"/>
      <c r="E150" s="139"/>
    </row>
    <row r="151" spans="1:7" x14ac:dyDescent="0.2">
      <c r="A151" s="124">
        <v>7</v>
      </c>
      <c r="B151" s="119" t="s">
        <v>510</v>
      </c>
      <c r="D151" s="133"/>
      <c r="E151" s="139"/>
    </row>
    <row r="152" spans="1:7" x14ac:dyDescent="0.2">
      <c r="A152" s="124"/>
      <c r="B152" s="114" t="s">
        <v>454</v>
      </c>
      <c r="C152" s="121" t="s">
        <v>511</v>
      </c>
      <c r="D152" s="133"/>
      <c r="E152" s="139">
        <f>M23+M24</f>
        <v>48811.983471074374</v>
      </c>
    </row>
    <row r="153" spans="1:7" ht="13.5" thickBot="1" x14ac:dyDescent="0.25">
      <c r="A153" s="124"/>
      <c r="C153" s="131" t="s">
        <v>83</v>
      </c>
      <c r="D153" s="133"/>
      <c r="E153" s="142">
        <f>E154-E152</f>
        <v>-21539.256198347033</v>
      </c>
      <c r="F153" s="114" t="s">
        <v>490</v>
      </c>
    </row>
    <row r="154" spans="1:7" x14ac:dyDescent="0.2">
      <c r="A154" s="124"/>
      <c r="C154" s="121" t="s">
        <v>512</v>
      </c>
      <c r="D154" s="133"/>
      <c r="E154" s="139">
        <f>0.25*D89*0.8</f>
        <v>27272.727272727341</v>
      </c>
    </row>
    <row r="155" spans="1:7" x14ac:dyDescent="0.2">
      <c r="A155" s="124"/>
      <c r="D155" s="133"/>
      <c r="E155" s="139"/>
    </row>
    <row r="156" spans="1:7" x14ac:dyDescent="0.2">
      <c r="A156" s="124">
        <v>8</v>
      </c>
      <c r="B156" s="119" t="s">
        <v>513</v>
      </c>
      <c r="D156" s="133"/>
      <c r="E156" s="144" t="s">
        <v>514</v>
      </c>
    </row>
    <row r="157" spans="1:7" x14ac:dyDescent="0.2">
      <c r="A157" s="124"/>
      <c r="C157" s="121" t="s">
        <v>511</v>
      </c>
      <c r="D157" s="133"/>
      <c r="E157" s="139">
        <f>M21/E2</f>
        <v>15000</v>
      </c>
    </row>
    <row r="158" spans="1:7" ht="13.5" thickBot="1" x14ac:dyDescent="0.25">
      <c r="A158" s="124"/>
      <c r="C158" s="131" t="s">
        <v>83</v>
      </c>
      <c r="D158" s="133"/>
      <c r="E158" s="142">
        <f>E159-E157</f>
        <v>-15000</v>
      </c>
      <c r="F158" s="114" t="s">
        <v>490</v>
      </c>
    </row>
    <row r="159" spans="1:7" x14ac:dyDescent="0.2">
      <c r="A159" s="124"/>
      <c r="C159" s="121" t="s">
        <v>512</v>
      </c>
      <c r="D159" s="133"/>
      <c r="E159" s="139">
        <f>E118</f>
        <v>0</v>
      </c>
    </row>
    <row r="160" spans="1:7" x14ac:dyDescent="0.2">
      <c r="A160" s="124"/>
      <c r="D160" s="133"/>
      <c r="E160" s="139"/>
    </row>
    <row r="161" spans="1:6" x14ac:dyDescent="0.2">
      <c r="A161" s="124"/>
      <c r="D161" s="133"/>
      <c r="E161" s="139"/>
    </row>
    <row r="162" spans="1:6" x14ac:dyDescent="0.2">
      <c r="A162" s="124"/>
      <c r="D162" s="133"/>
      <c r="E162" s="139"/>
    </row>
    <row r="163" spans="1:6" x14ac:dyDescent="0.2">
      <c r="A163" s="124">
        <v>9</v>
      </c>
      <c r="B163" s="119" t="s">
        <v>515</v>
      </c>
      <c r="D163" s="133"/>
      <c r="E163" s="144" t="s">
        <v>516</v>
      </c>
    </row>
    <row r="164" spans="1:6" x14ac:dyDescent="0.2">
      <c r="C164" s="121" t="s">
        <v>511</v>
      </c>
      <c r="D164" s="133"/>
      <c r="E164" s="139">
        <f>E135*0.75</f>
        <v>1050000</v>
      </c>
    </row>
    <row r="165" spans="1:6" x14ac:dyDescent="0.2">
      <c r="C165" s="121" t="s">
        <v>407</v>
      </c>
      <c r="D165" s="133"/>
      <c r="E165" s="139">
        <f>-E164/10</f>
        <v>-105000</v>
      </c>
    </row>
    <row r="166" spans="1:6" ht="13.5" thickBot="1" x14ac:dyDescent="0.25">
      <c r="C166" s="132" t="s">
        <v>83</v>
      </c>
      <c r="D166" s="133"/>
      <c r="E166" s="145">
        <f>E167-SUM(E164:E165)</f>
        <v>255000</v>
      </c>
      <c r="F166" s="114" t="s">
        <v>490</v>
      </c>
    </row>
    <row r="167" spans="1:6" x14ac:dyDescent="0.2">
      <c r="C167" s="121" t="s">
        <v>512</v>
      </c>
      <c r="D167" s="133"/>
      <c r="E167" s="139">
        <f>(5100000-6000000*9/15)*0.8</f>
        <v>1200000</v>
      </c>
    </row>
    <row r="168" spans="1:6" x14ac:dyDescent="0.2">
      <c r="D168" s="133"/>
      <c r="E168" s="139"/>
    </row>
    <row r="169" spans="1:6" x14ac:dyDescent="0.2">
      <c r="A169" s="124">
        <v>10</v>
      </c>
      <c r="B169" s="119" t="s">
        <v>517</v>
      </c>
      <c r="D169" s="133"/>
      <c r="E169" s="139"/>
    </row>
    <row r="170" spans="1:6" x14ac:dyDescent="0.2">
      <c r="D170" s="133"/>
      <c r="E170" s="139"/>
    </row>
    <row r="171" spans="1:6" x14ac:dyDescent="0.2">
      <c r="C171" s="121" t="s">
        <v>518</v>
      </c>
      <c r="D171" s="133"/>
      <c r="E171" s="139">
        <v>1000000</v>
      </c>
    </row>
    <row r="172" spans="1:6" x14ac:dyDescent="0.2">
      <c r="C172" s="121" t="s">
        <v>519</v>
      </c>
      <c r="D172" s="133"/>
      <c r="E172" s="139">
        <f>-D36</f>
        <v>834348.27126539545</v>
      </c>
    </row>
    <row r="173" spans="1:6" x14ac:dyDescent="0.2">
      <c r="C173" s="121" t="s">
        <v>520</v>
      </c>
      <c r="D173" s="133"/>
      <c r="E173" s="139">
        <f>E171-E172</f>
        <v>165651.72873460455</v>
      </c>
    </row>
    <row r="174" spans="1:6" x14ac:dyDescent="0.2">
      <c r="D174" s="133"/>
      <c r="E174" s="139"/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</vt:i4>
      </vt:variant>
    </vt:vector>
  </HeadingPairs>
  <TitlesOfParts>
    <vt:vector size="5" baseType="lpstr">
      <vt:lpstr>פתרון 1</vt:lpstr>
      <vt:lpstr>פתרון 2</vt:lpstr>
      <vt:lpstr>פתרון 3</vt:lpstr>
      <vt:lpstr>פתרון 4</vt:lpstr>
      <vt:lpstr>'פתרון 1'!WPrint_Area_W</vt:lpstr>
    </vt:vector>
  </TitlesOfParts>
  <Company>PwC Israel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Nimrod Shmuel</dc:creator>
  <cp:lastModifiedBy>M</cp:lastModifiedBy>
  <cp:lastPrinted>2012-05-08T18:21:15Z</cp:lastPrinted>
  <dcterms:created xsi:type="dcterms:W3CDTF">2012-05-01T17:30:10Z</dcterms:created>
  <dcterms:modified xsi:type="dcterms:W3CDTF">2012-05-09T09:34:51Z</dcterms:modified>
</cp:coreProperties>
</file>