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2390" windowHeight="9315" activeTab="3"/>
  </bookViews>
  <sheets>
    <sheet name="פתרון 1" sheetId="4" r:id="rId1"/>
    <sheet name="פתרון 2- השקעה בעדי" sheetId="7" r:id="rId2"/>
    <sheet name="פתרון 2- השקעה בגלי" sheetId="8" r:id="rId3"/>
    <sheet name="פתרון 3" sheetId="11" r:id="rId4"/>
    <sheet name="פתרון 4" sheetId="10" r:id="rId5"/>
  </sheets>
  <externalReferences>
    <externalReference r:id="rId6"/>
  </externalReferences>
  <definedNames>
    <definedName name="_xlnm.Print_Area" localSheetId="0">'פתרון 1'!$A$1:$G$235</definedName>
    <definedName name="_xlnm.Print_Area" localSheetId="4">'פתרון 4'!$A$1:$AQ$211</definedName>
    <definedName name="מס" localSheetId="1">#REF!</definedName>
    <definedName name="מס" localSheetId="4">#REF!</definedName>
    <definedName name="מס">#REF!</definedName>
  </definedNames>
  <calcPr calcId="145621"/>
</workbook>
</file>

<file path=xl/calcChain.xml><?xml version="1.0" encoding="utf-8"?>
<calcChain xmlns="http://schemas.openxmlformats.org/spreadsheetml/2006/main">
  <c r="E90" i="11"/>
  <c r="D218"/>
  <c r="D222" s="1"/>
  <c r="D216"/>
  <c r="D202"/>
  <c r="D206" s="1"/>
  <c r="D192"/>
  <c r="D172"/>
  <c r="D220" s="1"/>
  <c r="D170"/>
  <c r="D155"/>
  <c r="D159" s="1"/>
  <c r="D145"/>
  <c r="D147" s="1"/>
  <c r="F140"/>
  <c r="D134"/>
  <c r="D133"/>
  <c r="D132" s="1"/>
  <c r="D115"/>
  <c r="D117" s="1"/>
  <c r="F114"/>
  <c r="D114"/>
  <c r="D116" s="1"/>
  <c r="F116" s="1"/>
  <c r="D109"/>
  <c r="D105"/>
  <c r="D98"/>
  <c r="D95"/>
  <c r="D97" s="1"/>
  <c r="D89"/>
  <c r="D91" s="1"/>
  <c r="G84"/>
  <c r="G85" s="1"/>
  <c r="G83"/>
  <c r="G81"/>
  <c r="L32" s="1"/>
  <c r="G80"/>
  <c r="G79"/>
  <c r="G74"/>
  <c r="G75" s="1"/>
  <c r="D74"/>
  <c r="G73"/>
  <c r="D71"/>
  <c r="G59" s="1"/>
  <c r="G70"/>
  <c r="G71" s="1"/>
  <c r="D11" s="1"/>
  <c r="D70"/>
  <c r="G57" s="1"/>
  <c r="G69"/>
  <c r="D68"/>
  <c r="D79" s="1"/>
  <c r="D61" s="1"/>
  <c r="D64" s="1"/>
  <c r="G63"/>
  <c r="G64" s="1"/>
  <c r="D63"/>
  <c r="D122" s="1"/>
  <c r="D123" s="1"/>
  <c r="G61"/>
  <c r="G62" s="1"/>
  <c r="L15" s="1"/>
  <c r="L48"/>
  <c r="L47"/>
  <c r="A42"/>
  <c r="L40"/>
  <c r="L31"/>
  <c r="D31"/>
  <c r="L30"/>
  <c r="D181" s="1"/>
  <c r="D183" s="1"/>
  <c r="D182" s="1"/>
  <c r="D35" s="1"/>
  <c r="D25"/>
  <c r="L14"/>
  <c r="D6"/>
  <c r="D5"/>
  <c r="D2"/>
  <c r="D22" l="1"/>
  <c r="L16"/>
  <c r="L17" s="1"/>
  <c r="F117"/>
  <c r="D16" s="1"/>
  <c r="D221"/>
  <c r="D39" s="1"/>
  <c r="G60"/>
  <c r="L12"/>
  <c r="D9"/>
  <c r="D188"/>
  <c r="L49"/>
  <c r="L50" s="1"/>
  <c r="D195"/>
  <c r="D196" s="1"/>
  <c r="D211" s="1"/>
  <c r="D110"/>
  <c r="G58"/>
  <c r="D8"/>
  <c r="D108"/>
  <c r="L10"/>
  <c r="D186"/>
  <c r="L33"/>
  <c r="D99"/>
  <c r="D148"/>
  <c r="D149" s="1"/>
  <c r="D164" s="1"/>
  <c r="D80"/>
  <c r="F115"/>
  <c r="L7"/>
  <c r="D13"/>
  <c r="D17"/>
  <c r="D21"/>
  <c r="D23"/>
  <c r="D29"/>
  <c r="D58"/>
  <c r="D59" s="1"/>
  <c r="G66" s="1"/>
  <c r="G65" s="1"/>
  <c r="F138"/>
  <c r="L6"/>
  <c r="D24"/>
  <c r="D15" l="1"/>
  <c r="L18"/>
  <c r="L34"/>
  <c r="L51" s="1"/>
  <c r="D14"/>
  <c r="L8" s="1"/>
  <c r="L19" s="1"/>
  <c r="M19" s="1"/>
  <c r="N19" s="1"/>
  <c r="D161"/>
  <c r="L11"/>
  <c r="D158"/>
  <c r="D19"/>
  <c r="L23" s="1"/>
  <c r="D187"/>
  <c r="D36" s="1"/>
  <c r="N6"/>
  <c r="L22" s="1"/>
  <c r="D163"/>
  <c r="D165" s="1"/>
  <c r="E110"/>
  <c r="L13"/>
  <c r="D28"/>
  <c r="D20"/>
  <c r="G238" i="10"/>
  <c r="G240" s="1"/>
  <c r="G242" s="1"/>
  <c r="C237"/>
  <c r="G233"/>
  <c r="G232"/>
  <c r="E221"/>
  <c r="E219"/>
  <c r="E210"/>
  <c r="E203"/>
  <c r="E204" s="1"/>
  <c r="E205" s="1"/>
  <c r="E206" s="1"/>
  <c r="E27" s="1"/>
  <c r="F194"/>
  <c r="F196" s="1"/>
  <c r="E25" s="1"/>
  <c r="F192"/>
  <c r="E185"/>
  <c r="E183"/>
  <c r="E176"/>
  <c r="E177" s="1"/>
  <c r="E178" s="1"/>
  <c r="E19" s="1"/>
  <c r="E175"/>
  <c r="E211" s="1"/>
  <c r="E212" s="1"/>
  <c r="E213" s="1"/>
  <c r="E214" s="1"/>
  <c r="E28" s="1"/>
  <c r="E174"/>
  <c r="E167"/>
  <c r="E168" s="1"/>
  <c r="E169" s="1"/>
  <c r="E170" s="1"/>
  <c r="E18" s="1"/>
  <c r="E157"/>
  <c r="E151"/>
  <c r="E159" s="1"/>
  <c r="E149"/>
  <c r="E141"/>
  <c r="E140"/>
  <c r="E142" s="1"/>
  <c r="E143" s="1"/>
  <c r="E144" s="1"/>
  <c r="E10" s="1"/>
  <c r="E134"/>
  <c r="E135" s="1"/>
  <c r="E136" s="1"/>
  <c r="E9" s="1"/>
  <c r="E133"/>
  <c r="M123"/>
  <c r="G123"/>
  <c r="M120"/>
  <c r="G120"/>
  <c r="M110"/>
  <c r="M113" s="1"/>
  <c r="G110"/>
  <c r="G113" s="1"/>
  <c r="N109"/>
  <c r="H109"/>
  <c r="M100"/>
  <c r="M103" s="1"/>
  <c r="M105" s="1"/>
  <c r="F70" s="1"/>
  <c r="G100"/>
  <c r="G103" s="1"/>
  <c r="G105" s="1"/>
  <c r="F68" s="1"/>
  <c r="N99"/>
  <c r="H99"/>
  <c r="H85"/>
  <c r="G122" s="1"/>
  <c r="H84"/>
  <c r="H86" s="1"/>
  <c r="D68" s="1"/>
  <c r="D69" s="1"/>
  <c r="G84"/>
  <c r="H83"/>
  <c r="G119" s="1"/>
  <c r="G83"/>
  <c r="M99" s="1"/>
  <c r="L74"/>
  <c r="F74"/>
  <c r="D74"/>
  <c r="L73"/>
  <c r="I73"/>
  <c r="I74" s="1"/>
  <c r="G73"/>
  <c r="G74" s="1"/>
  <c r="F73"/>
  <c r="E73"/>
  <c r="E74" s="1"/>
  <c r="D73"/>
  <c r="L72"/>
  <c r="D72"/>
  <c r="F72" s="1"/>
  <c r="G65"/>
  <c r="D60"/>
  <c r="E55"/>
  <c r="E53"/>
  <c r="E56" s="1"/>
  <c r="D61" s="1"/>
  <c r="D62" s="1"/>
  <c r="D76" s="1"/>
  <c r="E52"/>
  <c r="E51"/>
  <c r="E50"/>
  <c r="G44"/>
  <c r="J65" s="1"/>
  <c r="G41"/>
  <c r="K24"/>
  <c r="M24" s="1"/>
  <c r="E23" s="1"/>
  <c r="P23"/>
  <c r="P22"/>
  <c r="P25" s="1"/>
  <c r="P15"/>
  <c r="P16" s="1"/>
  <c r="K15"/>
  <c r="M15" s="1"/>
  <c r="E14" s="1"/>
  <c r="I15"/>
  <c r="E15"/>
  <c r="P14"/>
  <c r="P7"/>
  <c r="E7"/>
  <c r="P6"/>
  <c r="K6"/>
  <c r="M6" s="1"/>
  <c r="E5" s="1"/>
  <c r="I6"/>
  <c r="P5"/>
  <c r="E4"/>
  <c r="N22" i="11" l="1"/>
  <c r="L39" s="1"/>
  <c r="L26"/>
  <c r="D205"/>
  <c r="D160"/>
  <c r="F69" i="10"/>
  <c r="G68"/>
  <c r="E68"/>
  <c r="M119"/>
  <c r="M109"/>
  <c r="F71"/>
  <c r="G70"/>
  <c r="M115"/>
  <c r="I70" s="1"/>
  <c r="G72"/>
  <c r="I72" s="1"/>
  <c r="E72"/>
  <c r="H73"/>
  <c r="H74" s="1"/>
  <c r="G85"/>
  <c r="G99"/>
  <c r="G109"/>
  <c r="H119"/>
  <c r="N119" s="1"/>
  <c r="J73"/>
  <c r="G102"/>
  <c r="G112"/>
  <c r="G115" s="1"/>
  <c r="I68" s="1"/>
  <c r="D162" i="11" l="1"/>
  <c r="D26" s="1"/>
  <c r="D30" s="1"/>
  <c r="D210"/>
  <c r="D212" s="1"/>
  <c r="D208"/>
  <c r="G207" s="1"/>
  <c r="L24"/>
  <c r="L43"/>
  <c r="L44" s="1"/>
  <c r="D207"/>
  <c r="D176"/>
  <c r="D178" s="1"/>
  <c r="D177" s="1"/>
  <c r="D33" s="1"/>
  <c r="L27"/>
  <c r="K73" i="10"/>
  <c r="K74" s="1"/>
  <c r="J74"/>
  <c r="I69"/>
  <c r="J68"/>
  <c r="H68"/>
  <c r="H70"/>
  <c r="I71"/>
  <c r="J70"/>
  <c r="G86"/>
  <c r="D70" s="1"/>
  <c r="M122"/>
  <c r="M125" s="1"/>
  <c r="L70" s="1"/>
  <c r="M112"/>
  <c r="M102"/>
  <c r="J72"/>
  <c r="K72" s="1"/>
  <c r="H72"/>
  <c r="G71"/>
  <c r="G125"/>
  <c r="L68" s="1"/>
  <c r="E69"/>
  <c r="G69"/>
  <c r="G209" i="11" l="1"/>
  <c r="G208" s="1"/>
  <c r="D38" s="1"/>
  <c r="D40" s="1"/>
  <c r="M52" s="1"/>
  <c r="D209"/>
  <c r="L41"/>
  <c r="L52" s="1"/>
  <c r="M35"/>
  <c r="L35"/>
  <c r="N35" s="1"/>
  <c r="K68" i="10"/>
  <c r="L69"/>
  <c r="L71"/>
  <c r="K71" s="1"/>
  <c r="K70"/>
  <c r="H71"/>
  <c r="J71"/>
  <c r="D71"/>
  <c r="E70"/>
  <c r="J69"/>
  <c r="H69"/>
  <c r="N52" i="11" l="1"/>
  <c r="D75" i="10"/>
  <c r="F75" s="1"/>
  <c r="E71"/>
  <c r="K69"/>
  <c r="G75" l="1"/>
  <c r="E75"/>
  <c r="E76" s="1"/>
  <c r="E6" s="1"/>
  <c r="E11" s="1"/>
  <c r="F76"/>
  <c r="E150" s="1"/>
  <c r="E152" s="1"/>
  <c r="I75" l="1"/>
  <c r="G76"/>
  <c r="E158" s="1"/>
  <c r="E160" s="1"/>
  <c r="E13" s="1"/>
  <c r="E12" l="1"/>
  <c r="H75"/>
  <c r="H76" s="1"/>
  <c r="E16" s="1"/>
  <c r="E20" s="1"/>
  <c r="E22" s="1"/>
  <c r="J75"/>
  <c r="I76"/>
  <c r="E184" s="1"/>
  <c r="E186" s="1"/>
  <c r="E21" l="1"/>
  <c r="L75"/>
  <c r="J76"/>
  <c r="K75" l="1"/>
  <c r="K76" s="1"/>
  <c r="E24" s="1"/>
  <c r="E29" s="1"/>
  <c r="L76"/>
  <c r="E220" s="1"/>
  <c r="E222" s="1"/>
  <c r="C166" i="8" l="1"/>
  <c r="C165"/>
  <c r="C161"/>
  <c r="C38" s="1"/>
  <c r="C154"/>
  <c r="C52" s="1"/>
  <c r="C53" s="1"/>
  <c r="C54" s="1"/>
  <c r="C144"/>
  <c r="C139"/>
  <c r="C133"/>
  <c r="C129"/>
  <c r="C128"/>
  <c r="C138" s="1"/>
  <c r="C127"/>
  <c r="C137" s="1"/>
  <c r="C124"/>
  <c r="C125" s="1"/>
  <c r="C123"/>
  <c r="C109"/>
  <c r="C107"/>
  <c r="C106" s="1"/>
  <c r="F106" s="1"/>
  <c r="C29" s="1"/>
  <c r="C105"/>
  <c r="C104" s="1"/>
  <c r="F104" s="1"/>
  <c r="C19" s="1"/>
  <c r="C103"/>
  <c r="C102"/>
  <c r="F102" s="1"/>
  <c r="C92"/>
  <c r="B84"/>
  <c r="C76"/>
  <c r="C77" s="1"/>
  <c r="C74"/>
  <c r="C75" s="1"/>
  <c r="C90" s="1"/>
  <c r="C91" s="1"/>
  <c r="C6" s="1"/>
  <c r="F73"/>
  <c r="C62" s="1"/>
  <c r="C71"/>
  <c r="C79" s="1"/>
  <c r="C70"/>
  <c r="C69"/>
  <c r="C56"/>
  <c r="C57" s="1"/>
  <c r="C48"/>
  <c r="C49" s="1"/>
  <c r="C34"/>
  <c r="C33"/>
  <c r="C32"/>
  <c r="C31"/>
  <c r="E61" s="1"/>
  <c r="C28"/>
  <c r="C27"/>
  <c r="C26"/>
  <c r="C25"/>
  <c r="C24"/>
  <c r="C23"/>
  <c r="C18"/>
  <c r="C17"/>
  <c r="C16"/>
  <c r="C15"/>
  <c r="C13"/>
  <c r="D61" s="1"/>
  <c r="C10"/>
  <c r="C9"/>
  <c r="C8"/>
  <c r="C7"/>
  <c r="C5"/>
  <c r="C4"/>
  <c r="C109" i="7"/>
  <c r="C110" s="1"/>
  <c r="C105"/>
  <c r="C104"/>
  <c r="C103"/>
  <c r="C106" s="1"/>
  <c r="C112" s="1"/>
  <c r="C97"/>
  <c r="C19" s="1"/>
  <c r="C86"/>
  <c r="C85"/>
  <c r="C10" s="1"/>
  <c r="C76"/>
  <c r="C75" s="1"/>
  <c r="E75" s="1"/>
  <c r="C17" s="1"/>
  <c r="C74"/>
  <c r="E73"/>
  <c r="C8" s="1"/>
  <c r="C73"/>
  <c r="C72"/>
  <c r="C61"/>
  <c r="C60"/>
  <c r="C58"/>
  <c r="C59" s="1"/>
  <c r="C6" s="1"/>
  <c r="C57"/>
  <c r="C5" s="1"/>
  <c r="C56"/>
  <c r="C52"/>
  <c r="C53" s="1"/>
  <c r="C63" s="1"/>
  <c r="C48"/>
  <c r="C47"/>
  <c r="E39"/>
  <c r="C33"/>
  <c r="C32"/>
  <c r="C31"/>
  <c r="C30"/>
  <c r="C29"/>
  <c r="E38" s="1"/>
  <c r="C27"/>
  <c r="C26"/>
  <c r="D39" s="1"/>
  <c r="C25"/>
  <c r="C24"/>
  <c r="C23"/>
  <c r="C18"/>
  <c r="C16"/>
  <c r="C15"/>
  <c r="C12"/>
  <c r="C11"/>
  <c r="C7"/>
  <c r="C4"/>
  <c r="C147" i="8" l="1"/>
  <c r="C148" s="1"/>
  <c r="C11"/>
  <c r="C61"/>
  <c r="C130"/>
  <c r="C78"/>
  <c r="C126" s="1"/>
  <c r="C136" s="1"/>
  <c r="C140"/>
  <c r="C12"/>
  <c r="C20" s="1"/>
  <c r="C108"/>
  <c r="F108" s="1"/>
  <c r="C35" s="1"/>
  <c r="C134"/>
  <c r="C135" s="1"/>
  <c r="C162"/>
  <c r="C163" s="1"/>
  <c r="C111" i="7"/>
  <c r="C38"/>
  <c r="D38"/>
  <c r="C62"/>
  <c r="C14"/>
  <c r="C20" s="1"/>
  <c r="C22" s="1"/>
  <c r="C28" s="1"/>
  <c r="C34" s="1"/>
  <c r="C22" i="8" l="1"/>
  <c r="C143"/>
  <c r="C145" s="1"/>
  <c r="D63" s="1"/>
  <c r="C21" l="1"/>
  <c r="C30"/>
  <c r="C36" s="1"/>
  <c r="C45" l="1"/>
  <c r="C46" s="1"/>
  <c r="E62" s="1"/>
  <c r="C158"/>
  <c r="C159" l="1"/>
  <c r="C37"/>
  <c r="C39" s="1"/>
  <c r="B68" i="4" l="1"/>
  <c r="B76" s="1"/>
  <c r="B69"/>
  <c r="B107"/>
  <c r="B125" s="1"/>
  <c r="B18" s="1"/>
  <c r="B87"/>
  <c r="B88" s="1"/>
  <c r="B9" s="1"/>
  <c r="B109"/>
  <c r="B111"/>
  <c r="B124" s="1"/>
  <c r="B11" s="1"/>
  <c r="B34"/>
  <c r="B93"/>
  <c r="B94" s="1"/>
  <c r="C35" s="1"/>
  <c r="B102"/>
  <c r="E36" s="1"/>
  <c r="C36" s="1"/>
  <c r="B101"/>
  <c r="B36"/>
  <c r="B122"/>
  <c r="E37" s="1"/>
  <c r="C37" s="1"/>
  <c r="B118"/>
  <c r="B54"/>
  <c r="B56"/>
  <c r="B57"/>
  <c r="B27"/>
  <c r="D44"/>
  <c r="B90"/>
  <c r="D35" s="1"/>
  <c r="B130"/>
  <c r="D38" s="1"/>
  <c r="B82"/>
  <c r="B83" s="1"/>
  <c r="B84" s="1"/>
  <c r="B35" s="1"/>
  <c r="B38"/>
  <c r="B114"/>
  <c r="B16" l="1"/>
  <c r="B55"/>
  <c r="B21"/>
  <c r="B117"/>
  <c r="B119" s="1"/>
  <c r="B39"/>
  <c r="B70"/>
  <c r="B73" s="1"/>
  <c r="B74" s="1"/>
  <c r="B113"/>
  <c r="B115" s="1"/>
  <c r="B13"/>
  <c r="D39"/>
  <c r="D48"/>
  <c r="E38"/>
  <c r="B96"/>
  <c r="E35" s="1"/>
  <c r="E34" l="1"/>
  <c r="B23"/>
  <c r="B26" s="1"/>
  <c r="B28" s="1"/>
  <c r="D43" s="1"/>
  <c r="D45" s="1"/>
  <c r="C34"/>
  <c r="C39" s="1"/>
  <c r="D50" s="1"/>
  <c r="E39"/>
  <c r="D51" l="1"/>
  <c r="D49"/>
  <c r="B58" s="1"/>
  <c r="B59" s="1"/>
</calcChain>
</file>

<file path=xl/sharedStrings.xml><?xml version="1.0" encoding="utf-8"?>
<sst xmlns="http://schemas.openxmlformats.org/spreadsheetml/2006/main" count="903" uniqueCount="528">
  <si>
    <t>שאלה בנושא 12-IAS</t>
  </si>
  <si>
    <t>רווח לפני מס בספרים:</t>
  </si>
  <si>
    <t>הוסף:</t>
  </si>
  <si>
    <t>הפחת:</t>
  </si>
  <si>
    <t>ביאור מסים נדחים</t>
  </si>
  <si>
    <t>שינוי</t>
  </si>
  <si>
    <t>(א)</t>
  </si>
  <si>
    <t>(ב)</t>
  </si>
  <si>
    <t>(ג)</t>
  </si>
  <si>
    <t>(ד)</t>
  </si>
  <si>
    <t>תרומה *</t>
  </si>
  <si>
    <t>הכנסה חייבת</t>
  </si>
  <si>
    <t>חבות המס</t>
  </si>
  <si>
    <t>שיעור מס רגיל</t>
  </si>
  <si>
    <t>סה"כ</t>
  </si>
  <si>
    <t>ביאורים וחישובים</t>
  </si>
  <si>
    <t>חישוב הוצאות המס בספרים</t>
  </si>
  <si>
    <t>שינוי בשיעור המס</t>
  </si>
  <si>
    <t>V</t>
  </si>
  <si>
    <t>ביאור מס תיאורטי</t>
  </si>
  <si>
    <t>מס תיאורטי</t>
  </si>
  <si>
    <t>הוצאות המס האפקטיביות בספרים</t>
  </si>
  <si>
    <t>זיכוי - תרומה *</t>
  </si>
  <si>
    <t>סה"כ הוצאות המס בספרים</t>
  </si>
  <si>
    <t>שינוי אחר</t>
  </si>
  <si>
    <t>12/2012</t>
  </si>
  <si>
    <t>הפרש</t>
  </si>
  <si>
    <t>(ה)</t>
  </si>
  <si>
    <t>ניקוד</t>
  </si>
  <si>
    <t>אג"ח שהונפקו</t>
  </si>
  <si>
    <t>בניכוי הוצאות הנפקה</t>
  </si>
  <si>
    <t>הכנסות מס נדחות:</t>
  </si>
  <si>
    <t>הכנסות מס נדחות סה"כ:</t>
  </si>
  <si>
    <t>דוח התאמה למס - שנת 2013</t>
  </si>
  <si>
    <t>12/2013</t>
  </si>
  <si>
    <t>מועד א' סמסטר א' - תשע"ד - מאזנים מאוחדים א'</t>
  </si>
  <si>
    <t>השקעה בחברת "ברוך"</t>
  </si>
  <si>
    <t>עלות - 1.1.2013</t>
  </si>
  <si>
    <t>רווחי אקוויטי - 2013</t>
  </si>
  <si>
    <t>50,000*0.3=</t>
  </si>
  <si>
    <t>מס נדחה בזכות בגין כוונת מכירה - השקעה בברוך - לפי שיעור מס רווח הון - 12/12:</t>
  </si>
  <si>
    <t/>
  </si>
  <si>
    <t>שינוי במס נדחה - כוונת מכירה ההשקעה בברוך בכללותה - שינוי</t>
  </si>
  <si>
    <t>רווחי אקוויטי (א)</t>
  </si>
  <si>
    <t>השקעה בחברת "ברוך" (א)</t>
  </si>
  <si>
    <t>ריהוט</t>
  </si>
  <si>
    <t>שינוי אחר (איפוס קרן שערוך בגין ירידת ערך)</t>
  </si>
  <si>
    <t>שינוי (פחת)</t>
  </si>
  <si>
    <t>שינוי (ירידת ערך שאינה מוכרת לצרכי מס)</t>
  </si>
  <si>
    <t>מס נדחה ליום 31.12.2012</t>
  </si>
  <si>
    <t>ריהוט - ספרים</t>
  </si>
  <si>
    <t>ריהוט - מס הכנסה</t>
  </si>
  <si>
    <t>מס נדחה בזכות ליום 31.12.2012</t>
  </si>
  <si>
    <t xml:space="preserve">21,000 * 6/7 = </t>
  </si>
  <si>
    <t xml:space="preserve">10,000 * 0.25 = </t>
  </si>
  <si>
    <t>ריהוט לצרכי מס ליום 31.12.2013</t>
  </si>
  <si>
    <t>ריהוט בספרים, לאחר ירידת ערך, ליום 31.12.2013</t>
  </si>
  <si>
    <t xml:space="preserve">21,000 * 5/7 = </t>
  </si>
  <si>
    <t xml:space="preserve">2,500 * 5/6 = </t>
  </si>
  <si>
    <t xml:space="preserve">2,500 * 1/6 = </t>
  </si>
  <si>
    <t>(15,000-7,000)*(1/5*0.26+4/5*0.28)=</t>
  </si>
  <si>
    <t>סה"כ שינוי - ריהוט (ללא שינוי אחר)</t>
  </si>
  <si>
    <t>יתרת מס נדחה בחובה ליום 31.12.2013</t>
  </si>
  <si>
    <t>מס הכנסה לא מכיר בירידת ערך ריהוט, ולכן בסוף 2013 יש מס נדחה בחובה על ההפרש: 15,000-7,000</t>
  </si>
  <si>
    <t>פחת ריהוט - ספרים (ב)</t>
  </si>
  <si>
    <t>28,000/6=</t>
  </si>
  <si>
    <t>פחת ריהוט - מס הכנסה (ב)</t>
  </si>
  <si>
    <t>21,000/7=</t>
  </si>
  <si>
    <t>ביטול ירידת ערך שנרשמה בספרים - ריהוט (ב)</t>
  </si>
  <si>
    <t>ירידת ערך ריהוט שנרשמה בספרים ביום 31.12.2013</t>
  </si>
  <si>
    <t>7,000-15,000=</t>
  </si>
  <si>
    <t>ביטול הפסד מירידת ערך נדל"ן להשקעה (ג)</t>
  </si>
  <si>
    <t>70,000-40,000=</t>
  </si>
  <si>
    <t>נדל"ן להשקעה (ג)</t>
  </si>
  <si>
    <t>ריהוט (ב)</t>
  </si>
  <si>
    <t>נדל"ן להשקעה - קרקע</t>
  </si>
  <si>
    <t>יתרת מס נדחה בזכות 12/2012:</t>
  </si>
  <si>
    <t>יתרת מס נדחה בחובה 12/2013:</t>
  </si>
  <si>
    <t xml:space="preserve">(70,000-50,000) * 0.2 = </t>
  </si>
  <si>
    <t xml:space="preserve">(50,000-40,000) * 0.2 = </t>
  </si>
  <si>
    <t>חישוב ריבית אפקטיבית בספרים:</t>
  </si>
  <si>
    <t>תמורת ההנפקה ליום 1.1.2013 - ברוטו</t>
  </si>
  <si>
    <t>PV(0.03,4,2000,100000)=</t>
  </si>
  <si>
    <t>אג"ח בספרים ליום 1.1.2013</t>
  </si>
  <si>
    <t xml:space="preserve">RATE(n=4,PMT=2,000,PV=-93,283,FV=100000) = </t>
  </si>
  <si>
    <t>אג"ח בספרים ליום 31.12.2013:</t>
  </si>
  <si>
    <t>אג"ח לצרכי מס ליום 31.12.2013:</t>
  </si>
  <si>
    <t>PV(0.038437,2,2000,100000)=</t>
  </si>
  <si>
    <t>PV(0.03,3,2000,100000)=</t>
  </si>
  <si>
    <t>PV(0.038437,3,2000,100000)=</t>
  </si>
  <si>
    <t>מס נדחה בזכות ליום 31.12.2013:</t>
  </si>
  <si>
    <t>אג"ח בספרים ליום 31.12.2014:</t>
  </si>
  <si>
    <t>אג"ח לצרכי מס ליום 31.12.2014:</t>
  </si>
  <si>
    <t>PV(0.03,2,2000,100000)=</t>
  </si>
  <si>
    <t>מתוך הפרש של 2,303 ש"ח ליום 31.12.2013, 731 ש"ח ייסגרו בשנת 2014 והיתרה בסך 1,572 ש"ח תיסגר בשנים 2015-2016. לכן:</t>
  </si>
  <si>
    <t>731*0.26+1,572*0.28=</t>
  </si>
  <si>
    <t>הוצאות מימון אג"ח - ספרים - 2013:</t>
  </si>
  <si>
    <t>הוצאות מימון אג"ח - מס הכנסה - 2013:</t>
  </si>
  <si>
    <t xml:space="preserve">93,283 * 0.038437 = </t>
  </si>
  <si>
    <t xml:space="preserve">96,283 * 0.03 = </t>
  </si>
  <si>
    <t>הוצאות מימון אג"ח - ספרים (ד)</t>
  </si>
  <si>
    <t>הוצאות מימון אג"ח - מס הכנסה (ד)</t>
  </si>
  <si>
    <t>הוצאות הנפקת אג"ח - מס הכנסה (ד)</t>
  </si>
  <si>
    <t>הוצאות הנפקת מניות</t>
  </si>
  <si>
    <t>מס נדחה בחובה 12/2013:</t>
  </si>
  <si>
    <t>5,000*1/3*0.26+5,000*2/3*0.28=</t>
  </si>
  <si>
    <t>כל המס הנדחה בחובה ליום 31.12.2013 נזקף לשינוי אחר</t>
  </si>
  <si>
    <t>מס נדחה בחובה 12/2012</t>
  </si>
  <si>
    <t>הפסד מפעילות מופסקת</t>
  </si>
  <si>
    <t>10,000*0.35=</t>
  </si>
  <si>
    <t>אג"ח (ד)</t>
  </si>
  <si>
    <t>הוצאות הנפקת מניות (ה)</t>
  </si>
  <si>
    <t>הוצאות מס שוטפות:</t>
  </si>
  <si>
    <t>חבות המס:</t>
  </si>
  <si>
    <t>בנטרול הפסד מפעילות מופסקת (במונחי מס)</t>
  </si>
  <si>
    <t xml:space="preserve">20,000*0.25 = </t>
  </si>
  <si>
    <t>הוצאות מס שוטפות בספרים:</t>
  </si>
  <si>
    <t>שיעור מס רגיל - סיכום כל מה שמסומן ב-V בדוח ההתאמה - לפי שיעורי מס מתאימים</t>
  </si>
  <si>
    <t>נדל"ן להשקעה - מרכיב הפרשי מס (בגינו לא נוצר מס נדחה)</t>
  </si>
  <si>
    <t>(70,000-40,000) * (0.25-0.2)=</t>
  </si>
  <si>
    <t>(50,000-45,000)*0.3*0.74=</t>
  </si>
  <si>
    <t>הטיפול בנדל"ן להשקעה - קרקע - הוא לפי שיעור מס רווח הון.</t>
  </si>
  <si>
    <t>מס נדחה בגין רווחי האקוויטי - מרכיב הפרשי המס (בגינו לא נוצר מס נדחה)</t>
  </si>
  <si>
    <t>התאמה בגין הסתייגות - מלאי שעונים - נטו ממס, לפי שיעור המס בשנת 2014</t>
  </si>
  <si>
    <t>500,000 * 0.25=</t>
  </si>
  <si>
    <t>10,000 * (0.35-0.25)=</t>
  </si>
  <si>
    <t>15,000-1,110=</t>
  </si>
  <si>
    <t>(13,890) * (0.25-0.2)=</t>
  </si>
  <si>
    <t>513,474*0.25=</t>
  </si>
  <si>
    <t>מס נדחה בזכות בגין כוונת מכירה - השקעה בברוך - לפי שיעור מס רווח הון - 12/13:</t>
  </si>
  <si>
    <t>(113,890-100,000)*0.2=</t>
  </si>
  <si>
    <t>יש בדוח ההתאמה למס "הפחת" בגין רווחי האקוויטי, שהוכרו ברווח לפני מס, אך לצרכי מס אינם מוכרים.</t>
  </si>
  <si>
    <t>הסברים</t>
  </si>
  <si>
    <t>נדרש א: תנועה בחשבון השקעה בחברת עדי</t>
  </si>
  <si>
    <t>עלות 1.1.13</t>
  </si>
  <si>
    <t>רווחי אקוויטי</t>
  </si>
  <si>
    <t>הה"מ מבנה</t>
  </si>
  <si>
    <t>הה"מ קרקע</t>
  </si>
  <si>
    <t>הה"מ פטנט</t>
  </si>
  <si>
    <t>התאמת הסתייגות</t>
  </si>
  <si>
    <t>ע.פ 1 עדי-אלעד בניין:</t>
  </si>
  <si>
    <t>א. דחייה מבנה</t>
  </si>
  <si>
    <t>ב. דחייה קרקע</t>
  </si>
  <si>
    <t>מימוש ע.פ 1</t>
  </si>
  <si>
    <t>ע.פ 3 עדי-גלי מלאי</t>
  </si>
  <si>
    <t>יתרה 31.12.13</t>
  </si>
  <si>
    <t>רווחי אקוויטי 1-3/14</t>
  </si>
  <si>
    <t>מימוש ע.פ 3</t>
  </si>
  <si>
    <t>יתרה 31.3.14 לפני הנפקה</t>
  </si>
  <si>
    <t>הנפקה</t>
  </si>
  <si>
    <t>יתרה 31.3.14 לאחר הנפקה</t>
  </si>
  <si>
    <t>רווחי אקוויטי 4-12/14</t>
  </si>
  <si>
    <t>מימוש ע.פ 3 - מכירת גלי</t>
  </si>
  <si>
    <t>יתרה 31.12.14</t>
  </si>
  <si>
    <t>מימוש ע.פ 4 בחברת גלי</t>
  </si>
  <si>
    <t>יתרה 31.12.15</t>
  </si>
  <si>
    <t>נדרש ג: השפעה על רווחי אקוויטי ורווח/הפסד הון</t>
  </si>
  <si>
    <t>רווח הון</t>
  </si>
  <si>
    <t>הפסד הון</t>
  </si>
  <si>
    <t>תיקון הון עצמי</t>
  </si>
  <si>
    <t>נתון</t>
  </si>
  <si>
    <t>חישוב הפרש מקורי</t>
  </si>
  <si>
    <t>תמורה</t>
  </si>
  <si>
    <t>שווי מאזני נרכש</t>
  </si>
  <si>
    <t>הפרש מקורי</t>
  </si>
  <si>
    <t>ייחוס הפרש מקורי</t>
  </si>
  <si>
    <t>מבנה</t>
  </si>
  <si>
    <t>מס נדחה</t>
  </si>
  <si>
    <t>קרקע</t>
  </si>
  <si>
    <t>פטנט לא רשום (*)</t>
  </si>
  <si>
    <t>מוניטין</t>
  </si>
  <si>
    <t>(*) פטנט לא רשום - עונה להגדרת נכס בלתי מוחשי מאחר והוא ניתן להפרדה (נתון שהחברה מוכרת את זכויות השימוש בו)</t>
  </si>
  <si>
    <t>הפחתת הפרש מקורי בניין</t>
  </si>
  <si>
    <t>יש להפחית את מלוא ההפרש המקורי בגין המבנה והקרקע מאחר ועדי מכרה את הבניין. מאחר והבניין נמכר לאלעד מדובר בעסקה פנימית</t>
  </si>
  <si>
    <t>ובזה נטפל בהמשך.</t>
  </si>
  <si>
    <t>י.פ 1.1.13</t>
  </si>
  <si>
    <t>אלעד מושכת 40%=</t>
  </si>
  <si>
    <t>31.12.13</t>
  </si>
  <si>
    <t>31.3.14</t>
  </si>
  <si>
    <t>במהלך 2014 תוקנה ההסתייגות. החברה הכלולה ביצעה תיקון רטרואקטיבי ולכן אין צורך בביצוע תיקון בתנועה בחשבון ההשקעה</t>
  </si>
  <si>
    <t>עסקה פנימית בניין</t>
  </si>
  <si>
    <t>מדובר בעסקה פנימית של בניין לו יוחס הפרש מקורי. מאחר וכבר ביצענו הפחתה של מלוא ההפרש המקורי (הסבר 2) נטפל בעסקה הפנימית כרגיל.</t>
  </si>
  <si>
    <t>נשים לב שהעסקה הפנימית בוצעה בהפסד ולכן יש לבדוק האם עלינו לדחות את ההפסד או לא. מאחר ונתון כי שווי השימוש גבוה מהערך הפנקסני</t>
  </si>
  <si>
    <t>אין צורך להכיר מיידית בירידת ערך ולכן יש לדחות את ההפסד.</t>
  </si>
  <si>
    <t>נפצל את הדחייה לשני מרכיבי הבניין:</t>
  </si>
  <si>
    <t>א. דחיית מרכיב המבנה</t>
  </si>
  <si>
    <t>ב. דחיית מרכיב הקרקע</t>
  </si>
  <si>
    <t>עסקה פנימית מלאי</t>
  </si>
  <si>
    <t>נשים לב כי ביום 31.12.13 נמדד שווי מימוש נטו למלאי, לכן יש לבדוק את יתרת העסקה הפנימית לאותו מועד ולדחות בהתאם ליתרה זו.</t>
  </si>
  <si>
    <t>עלות המלאי מנקודת מבט אלעד היא 50000*0.75=37500 ואילו מנקודת מבט גלי עלות המלאי היא 50000. מאחר והשווי מימוש נטו ליום 31.12.13</t>
  </si>
  <si>
    <t>הוא 35000 הרי שזהו ערך המלאי עבור שתי החברות ולכן אין צורך לדחות את העסקה הפנימית. עם זאת, יש לשים לב בשנים הבאות, שכן</t>
  </si>
  <si>
    <t>אילו המלאי לא ימכר ותהיה עלייה בשווי מימוש נטו יתכן ויהיה עלינו לבצע דחייה.</t>
  </si>
  <si>
    <t>לאור עליית השווי מימוש נטו של המלאי לסך 45000 ₪ יש לבדוק בשנית האם יש לדחות את העסקה הפנימית. בנקודת מבט אלעד עלות המלאי</t>
  </si>
  <si>
    <t>היא 37500 ולכן יש לבטל את כל ירידת הערך, אולם מנקודת מבט גלי עלות המלאי היא 50000 ולכן יש להעמיד את המלאי על 45000.</t>
  </si>
  <si>
    <t>הדחייה תהיה:</t>
  </si>
  <si>
    <t>עלייה בשיעור החזקה עקב הנפקה</t>
  </si>
  <si>
    <t>ביום 1.4.14 הנפיקה עדי 5000 מניות ואלעד רכשה 2,750 מתוכן, כך ששיעור החזקה עולה ל- 45% = (10000+5000)/(4000+2750)</t>
  </si>
  <si>
    <t>נחשב הפרש מקורי חדש:</t>
  </si>
  <si>
    <t>חלקי בשווי המאזני לפני</t>
  </si>
  <si>
    <t>חלקי בשווי המאזני אחרי</t>
  </si>
  <si>
    <t>פטנט לא רשום</t>
  </si>
  <si>
    <t>נדרש א: תנועה בחשבון השקעה בחברת גלי</t>
  </si>
  <si>
    <t>עלות 1.7.13</t>
  </si>
  <si>
    <t>ע.פ 6 אלעד-גלי ציוד</t>
  </si>
  <si>
    <t>רווחי אקוויטי 7-12/13</t>
  </si>
  <si>
    <t>הה"מ תלויה</t>
  </si>
  <si>
    <t>הה"מ מלאי</t>
  </si>
  <si>
    <t>מימוש ע.פ 6</t>
  </si>
  <si>
    <t>ע.פ 2 גלי-אלעד משאית</t>
  </si>
  <si>
    <t>מימוש ע.פ 2</t>
  </si>
  <si>
    <t>קרן הון נ"יע זמינים למכירה</t>
  </si>
  <si>
    <t>רווחי אקוויטי 1-6/14</t>
  </si>
  <si>
    <t>ע.פ 4 גלי-עדי מלאי</t>
  </si>
  <si>
    <t>יתרה 30.6.14 לפני הנפקה</t>
  </si>
  <si>
    <t>יתרה 30.6.14 לאחר הנפקה</t>
  </si>
  <si>
    <t>רווחי אקוויטי 7-12/14</t>
  </si>
  <si>
    <t>ע.פ 5 אלעד-גלי מבנה</t>
  </si>
  <si>
    <t>מימוש ע.פ 5</t>
  </si>
  <si>
    <t>גריעה</t>
  </si>
  <si>
    <t>קיזוז עסקאות פנימיות מהנכס</t>
  </si>
  <si>
    <t>נדרש ב: פקודות יומן למכירת ההשקעה ביום 31.12.15:</t>
  </si>
  <si>
    <t xml:space="preserve">ח - מזומן </t>
  </si>
  <si>
    <t>ז - השקעה בגלי</t>
  </si>
  <si>
    <t>ז - רווח הון</t>
  </si>
  <si>
    <t>ח - קרן הון בגין ני"ע זמינים למכירה</t>
  </si>
  <si>
    <t>ח - השקעה בגלי</t>
  </si>
  <si>
    <t>ז - משאית</t>
  </si>
  <si>
    <t>ח - מס נדחה</t>
  </si>
  <si>
    <t>ז - השקעה בעדי</t>
  </si>
  <si>
    <t>פקודת היומן לרכישה:</t>
  </si>
  <si>
    <t>ח - השקעה</t>
  </si>
  <si>
    <t>ז - מזומן</t>
  </si>
  <si>
    <t>ז - ציוד</t>
  </si>
  <si>
    <t>תלויה</t>
  </si>
  <si>
    <t>מלאי</t>
  </si>
  <si>
    <t>עסקה פנימית 6 - ציוד</t>
  </si>
  <si>
    <t>במסגרת רכישת גלי העבירה לה אלעד ציוד. מדובר בעסקה פנימית רגילה אותה יש לדחות ולממש בקצב הפחת.</t>
  </si>
  <si>
    <t>כלומר, הדחייה תהיה:</t>
  </si>
  <si>
    <t>0.35*0.7*(60000-25000)=</t>
  </si>
  <si>
    <t>הפחתת הפרש מקורי תלויה</t>
  </si>
  <si>
    <t>גלי יצרה הפרשה לתביעה בסך 12000 ₪. מנקודת מבט אלעד ההפרשה צריכה לעמוד על הגבוה מבין שווי הוגן למועד הרכישה (15000)</t>
  </si>
  <si>
    <t>לבין ההפרשה בספרי גלי (12000). לכן, מנקודת מבט אלעד ההפרשה צריכה לעמוד על 15000 בעוד גלי יצרה הפרשה בגובה 12000.</t>
  </si>
  <si>
    <t>י.פ</t>
  </si>
  <si>
    <t>י.ס</t>
  </si>
  <si>
    <t>עסקה פנימית 2 - משאית</t>
  </si>
  <si>
    <t>העלות המופחתת של המשאית בספרי חברת גלי היא 56250 = 4.5/8*100000</t>
  </si>
  <si>
    <t>אמנם התבצעה בחינת ירידת ערך עקב תקלות במערך התחזוקה, אולם בדיקה זו אינה נדרשת לאור העובדה</t>
  </si>
  <si>
    <t>שהשווי הוגן נטו של המשאית גבוה מערכה הפנקסני ולכן גלי לא נדרשת להכיר בירידת ערך.</t>
  </si>
  <si>
    <t>השקעה בניירות ערך זמינים למכירה</t>
  </si>
  <si>
    <t>אלעד מושכת 35%=</t>
  </si>
  <si>
    <t>30.6.14</t>
  </si>
  <si>
    <t>אין בעיה שהקרן בחובה, שכן אין ראיות לירידת ערך ההשקעה</t>
  </si>
  <si>
    <t>אלעד מושכת 30%=</t>
  </si>
  <si>
    <t>31.12.14</t>
  </si>
  <si>
    <t>31.12.15</t>
  </si>
  <si>
    <t>הפחתת הפרש מקורי מלאי</t>
  </si>
  <si>
    <t>יש להפחית את מלוא ההפרש המקורי בגין המלאי מאחר וגלי מכרה אותו. מאחר והמלאי נמכר לעדי מדובר בעסקה פנימית</t>
  </si>
  <si>
    <t>מדובר בעסקה פנימית של מלאי לו יוחס הפרש מקורי. מאחר וכבר ביצענו הפחתה של מלוא ההפרש המקורי (הסבר 6) נטפל בעסקה הפנימית כרגיל</t>
  </si>
  <si>
    <t>ירידה בשיעור ההחזקה עקב הנפקה</t>
  </si>
  <si>
    <t>ביום 30.6.14 הנפיקה גלי 20000 מניות ואלעד רכשה 17.5% מתוכן, כלומר, 3,500 מניות, כך ששיעור החזקה ירד ל- 30% = (50000+20000)/(17500+3500)</t>
  </si>
  <si>
    <t>נמצא את חשבון ההשקעה לפני ואחרי:</t>
  </si>
  <si>
    <t>חשבון השקעה לפני</t>
  </si>
  <si>
    <t xml:space="preserve">חלקי בשווי מאזני </t>
  </si>
  <si>
    <t>ע.פ 6</t>
  </si>
  <si>
    <t>ע.פ 2</t>
  </si>
  <si>
    <t>ע.פ 4</t>
  </si>
  <si>
    <t>חשבון השקעה אחרי</t>
  </si>
  <si>
    <t>הנכס נשוא העסקה הפנימית נמצא אצל אלעד ולכן הוא לא ממומש</t>
  </si>
  <si>
    <t>הנכס נשוא העסקה הפנימית נמצא אצל עדי ולכן הוא לא ממומש</t>
  </si>
  <si>
    <t>פקודות היומן:</t>
  </si>
  <si>
    <t>ז- מזומן</t>
  </si>
  <si>
    <t>ח - הפסד הון</t>
  </si>
  <si>
    <t>ז- קרן הון בגין ני"ע זמינים למכירה</t>
  </si>
  <si>
    <t>גריעה עקב מכירת מלוא ההשקעה בגלי</t>
  </si>
  <si>
    <t xml:space="preserve">נשים לב שלא ניתן לממש את העסקאות הפנימיות בהן הנכס נשוא העסקה לא נמצא אצלגלי, לכן נממש את ההשקעה בנטרול העסקאות הפנימיות </t>
  </si>
  <si>
    <t>ולאחר מכן נעביר את יתרת העסקאות הפנימיות מחשבון ההשקעה בגלי לנכסים הספציפיים.</t>
  </si>
  <si>
    <t>יתרת העסקאות הפנימיות הרלוונטיות:</t>
  </si>
  <si>
    <t xml:space="preserve">ע.פ 2 (נמצא אצל אלעד) - </t>
  </si>
  <si>
    <t xml:space="preserve">ע.פ 4 (נמצא אצל עדי) - </t>
  </si>
  <si>
    <t>אחוז החזקה</t>
  </si>
  <si>
    <t>ביאור</t>
  </si>
  <si>
    <t>תנועה בחשבון ההשקעה</t>
  </si>
  <si>
    <t>עלות 1/11/2013</t>
  </si>
  <si>
    <t>הרכב חשבון ההשקעה 31/12/13</t>
  </si>
  <si>
    <t>רווחי אקויטי</t>
  </si>
  <si>
    <t>חלק בשווי</t>
  </si>
  <si>
    <t>הפחתת עודף עלות</t>
  </si>
  <si>
    <t>התאמה בגין הסתייגות</t>
  </si>
  <si>
    <t>מכונה</t>
  </si>
  <si>
    <t>התאמה בגין מכונה</t>
  </si>
  <si>
    <t>הסכם הפצה</t>
  </si>
  <si>
    <t>יתרת עודף עלות</t>
  </si>
  <si>
    <t>אג"ח</t>
  </si>
  <si>
    <t>התאמה בגין הסתייגות- תלויה</t>
  </si>
  <si>
    <t>לא היה שינוי בהערכת היועצים</t>
  </si>
  <si>
    <t>קרן הון ני"ע זמינים</t>
  </si>
  <si>
    <t>התאמת מדיניות מכונה</t>
  </si>
  <si>
    <t>31/12/13</t>
  </si>
  <si>
    <t>תיקון רטרו</t>
  </si>
  <si>
    <t>בהתאם לעדכון היועצים המשפטיים</t>
  </si>
  <si>
    <t>הרכב חשבון ההשקעה 31/12/14</t>
  </si>
  <si>
    <t>רווחי אקויטי- הפסד מני"ע</t>
  </si>
  <si>
    <t>שערוך הסכם הפצה</t>
  </si>
  <si>
    <t>הפחתת עודף העלות</t>
  </si>
  <si>
    <t>משיכת חלקה</t>
  </si>
  <si>
    <t>31/12/14</t>
  </si>
  <si>
    <t>התאמה בגין מדיניות מכונה</t>
  </si>
  <si>
    <t>הרכב חשבון ההשקעה 31/12/15</t>
  </si>
  <si>
    <t>31/12/15</t>
  </si>
  <si>
    <t>חישוב עודף עלות</t>
  </si>
  <si>
    <t>ייחוס עודף עלות</t>
  </si>
  <si>
    <t>נותרו 11.1666666 שנים</t>
  </si>
  <si>
    <t>נותרו 6.5 שנים</t>
  </si>
  <si>
    <t>חישוב הון מתוקן</t>
  </si>
  <si>
    <t>תמורה בהנפקה</t>
  </si>
  <si>
    <t>אגח</t>
  </si>
  <si>
    <t>שחזור מאזן בוחן</t>
  </si>
  <si>
    <t>מזומן</t>
  </si>
  <si>
    <t>ני"ע זמינים</t>
  </si>
  <si>
    <t>לקוחות וחייבים</t>
  </si>
  <si>
    <t>1/11/2013</t>
  </si>
  <si>
    <t>ספרים</t>
  </si>
  <si>
    <t>חישוב ריבית אפקטיבית בספרים</t>
  </si>
  <si>
    <t>רכוש קבוע</t>
  </si>
  <si>
    <t>שווי הוגן</t>
  </si>
  <si>
    <t>חישוב ריבית שוק ביום הרכישה</t>
  </si>
  <si>
    <t>הסכם דמי הפצה</t>
  </si>
  <si>
    <t>ספקים וזכאים</t>
  </si>
  <si>
    <t>הפרשה לתביעה</t>
  </si>
  <si>
    <t>31/12/2013</t>
  </si>
  <si>
    <t>הון מניות</t>
  </si>
  <si>
    <t>פרמיה</t>
  </si>
  <si>
    <t>עודפים</t>
  </si>
  <si>
    <t>31/12/2014</t>
  </si>
  <si>
    <t>31/12/2015</t>
  </si>
  <si>
    <t>ני"ע זמינים למכירה</t>
  </si>
  <si>
    <t>מכונה- ירידת ערך + התאמת מדיניות</t>
  </si>
  <si>
    <t>ספרי מאיה</t>
  </si>
  <si>
    <t>ערך בר השבה</t>
  </si>
  <si>
    <t>יתרת הפרשה צ"ל</t>
  </si>
  <si>
    <t>יתרת הפרשה רשומה</t>
  </si>
  <si>
    <t>עליית ערך</t>
  </si>
  <si>
    <t>מנקודת מבט חברת מאיה יש עליית ערך אך מנקודת מבט עדי אין עליית ערך ועל כן יש לבטל את עליית הערך</t>
  </si>
  <si>
    <t>שנרשמה בספרי חברת מאיה לפי חלקה של עדי</t>
  </si>
  <si>
    <t>ספרי עדי</t>
  </si>
  <si>
    <t>יתרת עודף עלות רשום</t>
  </si>
  <si>
    <t>יתרת עודף עלות צ"ל + התאמת מדיניות</t>
  </si>
  <si>
    <t>ביטול רווח מעליית ערך</t>
  </si>
  <si>
    <t>תיקון רטרו בגין הסכם דמי הפצה</t>
  </si>
  <si>
    <t>יתרת פתיחה</t>
  </si>
  <si>
    <t>PN</t>
  </si>
  <si>
    <t>יתרת סגירה</t>
  </si>
  <si>
    <t>ח מזומן</t>
  </si>
  <si>
    <t>ז ני"ע</t>
  </si>
  <si>
    <t>ז רווח הון</t>
  </si>
  <si>
    <t>נמשך אוטומטית דרך רווחי אקויטי</t>
  </si>
  <si>
    <t xml:space="preserve">ח מס נדחה </t>
  </si>
  <si>
    <t>ח קרן הון</t>
  </si>
  <si>
    <t>ז רווח מני"ע</t>
  </si>
  <si>
    <t>נקודת מבט עדי</t>
  </si>
  <si>
    <t>א</t>
  </si>
  <si>
    <t>רווחי אקויטי נמשכים אוטומטית</t>
  </si>
  <si>
    <t>ב</t>
  </si>
  <si>
    <t>משיכת קרן הון לפי חלקה</t>
  </si>
  <si>
    <t xml:space="preserve">ח קרן הון </t>
  </si>
  <si>
    <t>ז השקעה</t>
  </si>
  <si>
    <t>ג</t>
  </si>
  <si>
    <t>פעולת מיון קרן הון מול רווחי אקויטי</t>
  </si>
  <si>
    <t>ח רווחי אקויטי</t>
  </si>
  <si>
    <t>מאחר וניתן למשוך רק עד איפוס קרן ההון</t>
  </si>
  <si>
    <t>ז קרן הון</t>
  </si>
  <si>
    <t>יתרת עודף עלות צ"ל +התאמת מדיניות</t>
  </si>
  <si>
    <t>התאמת מדיניות 31.12.2014</t>
  </si>
  <si>
    <t>התאמת מדיניות 31.12.2013</t>
  </si>
  <si>
    <t>ביטול פחת מנופח</t>
  </si>
  <si>
    <t>ביטול עליית ערך</t>
  </si>
  <si>
    <t>מעבר למודל השערוך הסכם דמי הפצה</t>
  </si>
  <si>
    <t>ערך פנקסני</t>
  </si>
  <si>
    <t>הפחתת עודף עלות- שינוי בשיעור המס</t>
  </si>
  <si>
    <t>יתרת פתיחה נטו</t>
  </si>
  <si>
    <t>יתרת סגירה נטו</t>
  </si>
  <si>
    <t>יתרת קרן שערוך ברוטו</t>
  </si>
  <si>
    <t>יתרת פתיחה קרן שערוך נטו</t>
  </si>
  <si>
    <t>יתרת סגירה קרן שערוך נטו</t>
  </si>
  <si>
    <t xml:space="preserve">נדרש א' </t>
  </si>
  <si>
    <t xml:space="preserve">תנועה בחשבון השקעה חברת טל </t>
  </si>
  <si>
    <t>רווחי אקווטי 2011</t>
  </si>
  <si>
    <t>סך דיבידנד שחולק ב-2011</t>
  </si>
  <si>
    <t xml:space="preserve">1.1.2011 עלות </t>
  </si>
  <si>
    <t xml:space="preserve">מ"ר </t>
  </si>
  <si>
    <t xml:space="preserve">רווחי אקווטי </t>
  </si>
  <si>
    <t xml:space="preserve">מ"ב צוברות </t>
  </si>
  <si>
    <t xml:space="preserve">הפחתת עודף עלות </t>
  </si>
  <si>
    <t xml:space="preserve">מ"ב לא צוברות </t>
  </si>
  <si>
    <t>דיבידנד</t>
  </si>
  <si>
    <t>מ"ב צוברות</t>
  </si>
  <si>
    <t>מ"ב לא צוברות</t>
  </si>
  <si>
    <t>מ"ר P.N.</t>
  </si>
  <si>
    <t xml:space="preserve">סך </t>
  </si>
  <si>
    <t>התאמת מידיניות שערןך -</t>
  </si>
  <si>
    <t>בגין ק.שערוך</t>
  </si>
  <si>
    <t>בגין פחת</t>
  </si>
  <si>
    <t>31.12.2011</t>
  </si>
  <si>
    <t>רווחי אקווטי 2012</t>
  </si>
  <si>
    <t>סך דיבידנד שחולק ב-2012</t>
  </si>
  <si>
    <t>הנפקה מניות - טל</t>
  </si>
  <si>
    <t xml:space="preserve">1.1.2012 אחרי הנפקה </t>
  </si>
  <si>
    <t>31.12.2012</t>
  </si>
  <si>
    <t>רווחי אקווטי 2013</t>
  </si>
  <si>
    <t>סך דיבידנד שחולק ב-2013</t>
  </si>
  <si>
    <t xml:space="preserve">מימוש מניות טל </t>
  </si>
  <si>
    <t>1.1.2013</t>
  </si>
  <si>
    <t>פדיון מ"ב צוברות</t>
  </si>
  <si>
    <t>31.12.2013</t>
  </si>
  <si>
    <t>מכיוון שמ"ב אילו נפדו - אזי הדיבידנד שנפדה משפיע על הרווח שנמשך לחשבון ההשקעה, אך אינו</t>
  </si>
  <si>
    <t>נמצא טכנית בסך הדיבידנד ששולם מכיוון שאת הרווח בגינו כבר גילמנו בגידול חשבון ההשקעה</t>
  </si>
  <si>
    <t>אחוזי החזקה</t>
  </si>
  <si>
    <t>נתוני ההון עצמ חברת טל לפני הרכישה</t>
  </si>
  <si>
    <t>הון מניות רגילות 1 ₪ ע.נ.</t>
  </si>
  <si>
    <t>1.1.2011</t>
  </si>
  <si>
    <t>רכישה של 40%</t>
  </si>
  <si>
    <t>(*) מניות בכורה צוברות 1 ₪ ע.נ. -  בשיעור של 10%</t>
  </si>
  <si>
    <t>(**) מניות בכורה לא צוברות 1 ₪  ע.נ. - בשיעור של 20%</t>
  </si>
  <si>
    <t>1.1.2012</t>
  </si>
  <si>
    <t xml:space="preserve">ירידה כתוצאה מהנפקה </t>
  </si>
  <si>
    <t>4000+3500</t>
  </si>
  <si>
    <t>א רכשה 35% בהנפקה של 10,000 מניות נוספות</t>
  </si>
  <si>
    <t>10000+10000</t>
  </si>
  <si>
    <t>מכירה של 17.5% מהון המניות של חברה ב'</t>
  </si>
  <si>
    <t>חישוב הון עצמי למניות הרגילות:</t>
  </si>
  <si>
    <t xml:space="preserve">סך הון עצמי נתון - </t>
  </si>
  <si>
    <t xml:space="preserve">בניכוי מ"ב צוברות </t>
  </si>
  <si>
    <t xml:space="preserve">100,000 + 100,000 * 10% * 3 = </t>
  </si>
  <si>
    <t xml:space="preserve">בניכוי מ"ב לא צוברות </t>
  </si>
  <si>
    <t>סה"כ הון עצמי מ"ר</t>
  </si>
  <si>
    <t>התאמת מינדיניות שערוך</t>
  </si>
  <si>
    <t xml:space="preserve">75% * (150,000 - 150,000 * 9/10)  = </t>
  </si>
  <si>
    <t xml:space="preserve">סך הון עצמי מ"ר מתוקן </t>
  </si>
  <si>
    <t xml:space="preserve">חישוב עודף עלות </t>
  </si>
  <si>
    <t xml:space="preserve">תמורה </t>
  </si>
  <si>
    <t xml:space="preserve">350,000 - 20,000 +12,000 = </t>
  </si>
  <si>
    <t xml:space="preserve">שווי נרכש </t>
  </si>
  <si>
    <t xml:space="preserve">40% * 26,250 = </t>
  </si>
  <si>
    <t xml:space="preserve">מס חברות </t>
  </si>
  <si>
    <t>מס רווח הון</t>
  </si>
  <si>
    <t>ירידה בשיעור אחזקה</t>
  </si>
  <si>
    <t>הפחתה</t>
  </si>
  <si>
    <t>31.12.11</t>
  </si>
  <si>
    <t>31.12.12</t>
  </si>
  <si>
    <t>מבנה - מרכיב מבנה</t>
  </si>
  <si>
    <t>מבנה -מרכיב קרקע</t>
  </si>
  <si>
    <t xml:space="preserve">ישנה גישה כי יש ליצור מס נדחה </t>
  </si>
  <si>
    <t xml:space="preserve">מניות בכורה </t>
  </si>
  <si>
    <t>בגין מניות הבכורה - בפתרון לא יושמה</t>
  </si>
  <si>
    <t xml:space="preserve">תלויה </t>
  </si>
  <si>
    <t>גישה זו</t>
  </si>
  <si>
    <t xml:space="preserve">מוניטין </t>
  </si>
  <si>
    <t xml:space="preserve">פנקסני </t>
  </si>
  <si>
    <t>1.1.2009</t>
  </si>
  <si>
    <t xml:space="preserve">שווי הוגן </t>
  </si>
  <si>
    <t>ייחוס ע"ע 1.1.2011</t>
  </si>
  <si>
    <t>נתוני ס.ב.ה.</t>
  </si>
  <si>
    <t>מרכיב מבנה</t>
  </si>
  <si>
    <t>מרכיב קרקע</t>
  </si>
  <si>
    <t>מרכיב המבנה</t>
  </si>
  <si>
    <t>אחוזי אחזקה</t>
  </si>
  <si>
    <t>ירידת ערך מבנה 31/12/11</t>
  </si>
  <si>
    <t>ירידת ערך קרקע 31/12/11</t>
  </si>
  <si>
    <t xml:space="preserve">בספרי ב' - </t>
  </si>
  <si>
    <t>ע.מ.מ</t>
  </si>
  <si>
    <t>ס.ב.ה.</t>
  </si>
  <si>
    <t xml:space="preserve">בספרי א' - </t>
  </si>
  <si>
    <t xml:space="preserve">יתרת ה"מ - </t>
  </si>
  <si>
    <t>ירידת ערך מבנה 31/12/12</t>
  </si>
  <si>
    <t>ירידת ערך קרקע 31/12/12</t>
  </si>
  <si>
    <t>ירידת ערך מבנה 31/12/13</t>
  </si>
  <si>
    <t>ירידת ערך קרקע 31/12/13</t>
  </si>
  <si>
    <t>התאמת מידיניות - הערכה מחדש 2011</t>
  </si>
  <si>
    <t xml:space="preserve">ק.שערוך - </t>
  </si>
  <si>
    <t>שיעור החזקה</t>
  </si>
  <si>
    <t xml:space="preserve">נטו ממס </t>
  </si>
  <si>
    <t xml:space="preserve">התאמת פחת </t>
  </si>
  <si>
    <t xml:space="preserve">פחת בספרי א ' </t>
  </si>
  <si>
    <t xml:space="preserve">פחת בספרי ב' </t>
  </si>
  <si>
    <t>נדרש ב'</t>
  </si>
  <si>
    <t>הרכב חשבון השקעה 31.12.2011</t>
  </si>
  <si>
    <t xml:space="preserve">חלקי בשווי - </t>
  </si>
  <si>
    <t xml:space="preserve">40% * ( 195,000 +150,000 - 84,000 - 50,000 - 100,000) = </t>
  </si>
  <si>
    <t>עודף עלות</t>
  </si>
  <si>
    <t xml:space="preserve">מדיניות נדל"ן </t>
  </si>
  <si>
    <t xml:space="preserve">40%*(150000-150000*8/10)*75% = </t>
  </si>
  <si>
    <t xml:space="preserve">חשבון השקעה אחרי 1.1.2012 </t>
  </si>
  <si>
    <t>חלקי בשווי</t>
  </si>
  <si>
    <t xml:space="preserve">37.5% * ( 195,000 +150,000 - 84,000 - 50,000 - 100,000 +400,000) = </t>
  </si>
  <si>
    <t xml:space="preserve">211,600 * 37.5%/40% = </t>
  </si>
  <si>
    <t xml:space="preserve">9,000 * 37.5% / 40% = </t>
  </si>
  <si>
    <t>התאמת מידיניות - הערכה מחדש  2012</t>
  </si>
  <si>
    <t>הרכב חשבון השקעה 31.12.2012</t>
  </si>
  <si>
    <t xml:space="preserve">37.5%*(661,000+110,000-21,300-50,000-100,000) = </t>
  </si>
  <si>
    <t xml:space="preserve">37.5%*(140000-150000*7/10)*75% = </t>
  </si>
  <si>
    <t xml:space="preserve">פדיון מניות בכורה - </t>
  </si>
  <si>
    <t>מכיוון שנפדו מתחת לערכם הנקוב בתוספת דיבידנד שנצבר אזי יש להכיר בגידול בהונה של טל</t>
  </si>
  <si>
    <t xml:space="preserve">ע.נ. בתוספת דיבידנד שנצבר - </t>
  </si>
  <si>
    <t>לא מהווה אירוע חייב במס</t>
  </si>
  <si>
    <t>תמורת הפידיון</t>
  </si>
  <si>
    <t>ולכן אין יצירת מסים נדחים</t>
  </si>
  <si>
    <t>התאמת מידיניות - הערכה מחדש 2013</t>
  </si>
  <si>
    <t>הרכב חשבון השקעה 31.12.2013</t>
  </si>
  <si>
    <t xml:space="preserve">20% * (749,700 -4,700 -30,000 -50,000 - 75,000) = </t>
  </si>
  <si>
    <t xml:space="preserve">20% * 75% * (150,000 - 150,000 * 6/10) = </t>
  </si>
  <si>
    <t>נדרש ג'</t>
  </si>
  <si>
    <t xml:space="preserve">פקודות יומן בגין התמורה מותנית ונכס השיפוי </t>
  </si>
  <si>
    <t xml:space="preserve">נכס שיפוי - </t>
  </si>
  <si>
    <t xml:space="preserve">1.1.2011 </t>
  </si>
  <si>
    <t xml:space="preserve">ח : חייבים בגין נכס שיפוי </t>
  </si>
  <si>
    <t xml:space="preserve">   ז: השקעה </t>
  </si>
  <si>
    <t>30.9.2012</t>
  </si>
  <si>
    <t>ח : הפסד בגין נכס שיפוי</t>
  </si>
  <si>
    <t xml:space="preserve">    ז:חייבים בגין נכס שיפוי</t>
  </si>
  <si>
    <t xml:space="preserve">תמורה מותנית - </t>
  </si>
  <si>
    <t xml:space="preserve">ח: השקעה </t>
  </si>
  <si>
    <t xml:space="preserve">    ז: התחייבות בגין תמורה מותנית </t>
  </si>
  <si>
    <t>ח: התחייבות בגין תמורה מותנית</t>
  </si>
  <si>
    <t xml:space="preserve">     ז: מזומן </t>
  </si>
  <si>
    <t xml:space="preserve">ח: הפסד בגין תמורה מותנית </t>
  </si>
  <si>
    <t>התנועה בחשבון ההשקעה חולון מוטורס-ברוך לשנת 2013</t>
  </si>
  <si>
    <t>מיסים נדחים</t>
  </si>
  <si>
    <t>קרן הון</t>
  </si>
</sst>
</file>

<file path=xl/styles.xml><?xml version="1.0" encoding="utf-8"?>
<styleSheet xmlns="http://schemas.openxmlformats.org/spreadsheetml/2006/main">
  <numFmts count="10">
    <numFmt numFmtId="8" formatCode="&quot;₪&quot;\ #,##0.00;[Red]&quot;₪&quot;\ \-#,##0.00"/>
    <numFmt numFmtId="43" formatCode="_ * #,##0.00_ ;_ * \-#,##0.00_ ;_ * &quot;-&quot;??_ ;_ @_ "/>
    <numFmt numFmtId="164" formatCode="&quot;$&quot;#,##0.00_);[Red]\(&quot;$&quot;#,##0.00\)"/>
    <numFmt numFmtId="165" formatCode="_(* #,##0_);_(* \(#,##0\);_(* &quot;-&quot;??_);_(@_)"/>
    <numFmt numFmtId="166" formatCode="0.0000%"/>
    <numFmt numFmtId="167" formatCode="_(* #,##0.000_);_(* \(#,##0.000\);_(* &quot;-&quot;??_);_(@_)"/>
    <numFmt numFmtId="168" formatCode="_ * #,##0_ ;_ * \(#,##0\)_ ;_ * &quot;-&quot;_ ;_ @_ "/>
    <numFmt numFmtId="169" formatCode="_ * #,##0_ ;_ * \-#,##0_ ;_ * &quot;-&quot;??_ ;_ @_ "/>
    <numFmt numFmtId="170" formatCode="0.0%"/>
    <numFmt numFmtId="171" formatCode="_ * #,##0.0_ ;_ * \-#,##0.0_ ;_ * &quot;-&quot;?_ ;_ @_ "/>
  </numFmts>
  <fonts count="18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b/>
      <i/>
      <u/>
      <sz val="14"/>
      <color theme="1"/>
      <name val="Arial"/>
      <family val="2"/>
      <scheme val="minor"/>
    </font>
    <font>
      <i/>
      <u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i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0" fillId="0" borderId="0" xfId="0" quotePrefix="1"/>
    <xf numFmtId="165" fontId="0" fillId="0" borderId="0" xfId="0" applyNumberFormat="1"/>
    <xf numFmtId="165" fontId="4" fillId="0" borderId="0" xfId="0" applyNumberFormat="1" applyFont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quotePrefix="1" applyFill="1"/>
    <xf numFmtId="165" fontId="0" fillId="0" borderId="0" xfId="0" applyNumberFormat="1" applyFill="1"/>
    <xf numFmtId="165" fontId="4" fillId="0" borderId="0" xfId="0" applyNumberFormat="1" applyFont="1" applyFill="1"/>
    <xf numFmtId="0" fontId="4" fillId="0" borderId="0" xfId="0" applyFont="1" applyFill="1" applyAlignment="1"/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1" applyFont="1" applyFill="1"/>
    <xf numFmtId="0" fontId="2" fillId="0" borderId="0" xfId="1" applyFont="1"/>
    <xf numFmtId="0" fontId="0" fillId="0" borderId="0" xfId="0" applyBorder="1"/>
    <xf numFmtId="0" fontId="0" fillId="0" borderId="0" xfId="0" applyFill="1" applyBorder="1"/>
    <xf numFmtId="0" fontId="2" fillId="0" borderId="0" xfId="2" applyFont="1" applyAlignment="1">
      <alignment readingOrder="2"/>
    </xf>
    <xf numFmtId="165" fontId="0" fillId="0" borderId="2" xfId="0" applyNumberFormat="1" applyFill="1" applyBorder="1"/>
    <xf numFmtId="0" fontId="2" fillId="0" borderId="0" xfId="3" applyFont="1" applyFill="1"/>
    <xf numFmtId="0" fontId="7" fillId="0" borderId="0" xfId="3" applyFont="1" applyFill="1"/>
    <xf numFmtId="0" fontId="2" fillId="0" borderId="0" xfId="4" applyFill="1"/>
    <xf numFmtId="0" fontId="5" fillId="0" borderId="0" xfId="3" applyFont="1" applyFill="1"/>
    <xf numFmtId="165" fontId="5" fillId="0" borderId="0" xfId="4" applyNumberFormat="1" applyFont="1" applyFill="1"/>
    <xf numFmtId="0" fontId="2" fillId="0" borderId="0" xfId="4"/>
    <xf numFmtId="165" fontId="2" fillId="0" borderId="0" xfId="4" applyNumberFormat="1"/>
    <xf numFmtId="0" fontId="2" fillId="0" borderId="0" xfId="4" quotePrefix="1" applyFont="1"/>
    <xf numFmtId="0" fontId="2" fillId="0" borderId="0" xfId="4" applyFont="1"/>
    <xf numFmtId="0" fontId="2" fillId="0" borderId="0" xfId="4" quotePrefix="1" applyFont="1" applyFill="1"/>
    <xf numFmtId="165" fontId="2" fillId="0" borderId="0" xfId="4" applyNumberFormat="1" applyFill="1"/>
    <xf numFmtId="167" fontId="0" fillId="0" borderId="0" xfId="0" applyNumberFormat="1"/>
    <xf numFmtId="0" fontId="5" fillId="0" borderId="0" xfId="0" applyFont="1" applyFill="1" applyAlignment="1"/>
    <xf numFmtId="0" fontId="7" fillId="0" borderId="0" xfId="0" applyFont="1" applyFill="1" applyAlignment="1"/>
    <xf numFmtId="0" fontId="5" fillId="0" borderId="0" xfId="0" quotePrefix="1" applyFont="1" applyFill="1"/>
    <xf numFmtId="0" fontId="7" fillId="0" borderId="0" xfId="0" applyFont="1" applyFill="1" applyAlignment="1">
      <alignment wrapText="1"/>
    </xf>
    <xf numFmtId="165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quotePrefix="1" applyFont="1"/>
    <xf numFmtId="0" fontId="5" fillId="0" borderId="0" xfId="0" applyFont="1" applyFill="1" applyBorder="1" applyAlignment="1"/>
    <xf numFmtId="165" fontId="5" fillId="0" borderId="0" xfId="0" applyNumberFormat="1" applyFont="1" applyBorder="1"/>
    <xf numFmtId="0" fontId="4" fillId="0" borderId="0" xfId="1" applyFont="1"/>
    <xf numFmtId="0" fontId="2" fillId="0" borderId="0" xfId="1"/>
    <xf numFmtId="0" fontId="5" fillId="0" borderId="0" xfId="1" applyFont="1"/>
    <xf numFmtId="0" fontId="2" fillId="0" borderId="0" xfId="1" quotePrefix="1"/>
    <xf numFmtId="0" fontId="2" fillId="0" borderId="0" xfId="1" quotePrefix="1" applyFont="1"/>
    <xf numFmtId="0" fontId="5" fillId="0" borderId="2" xfId="1" applyFont="1" applyBorder="1"/>
    <xf numFmtId="0" fontId="6" fillId="0" borderId="0" xfId="4" applyFont="1" applyFill="1"/>
    <xf numFmtId="0" fontId="2" fillId="0" borderId="0" xfId="4" quotePrefix="1"/>
    <xf numFmtId="0" fontId="2" fillId="0" borderId="0" xfId="4" applyFont="1" applyFill="1"/>
    <xf numFmtId="166" fontId="2" fillId="0" borderId="0" xfId="4" applyNumberFormat="1"/>
    <xf numFmtId="0" fontId="5" fillId="0" borderId="0" xfId="4" applyFont="1" applyFill="1"/>
    <xf numFmtId="0" fontId="6" fillId="0" borderId="0" xfId="4" applyFont="1"/>
    <xf numFmtId="0" fontId="4" fillId="0" borderId="0" xfId="0" applyFont="1" applyFill="1" applyBorder="1" applyAlignment="1"/>
    <xf numFmtId="0" fontId="6" fillId="0" borderId="0" xfId="0" applyFont="1" applyFill="1" applyBorder="1"/>
    <xf numFmtId="165" fontId="0" fillId="0" borderId="0" xfId="0" applyNumberFormat="1" applyFill="1" applyBorder="1"/>
    <xf numFmtId="0" fontId="0" fillId="0" borderId="0" xfId="0" quotePrefix="1" applyBorder="1"/>
    <xf numFmtId="165" fontId="0" fillId="0" borderId="0" xfId="0" applyNumberFormat="1" applyBorder="1"/>
    <xf numFmtId="0" fontId="4" fillId="0" borderId="0" xfId="4" applyFont="1" applyFill="1" applyBorder="1"/>
    <xf numFmtId="3" fontId="2" fillId="0" borderId="0" xfId="3" applyNumberFormat="1" applyFill="1" applyBorder="1"/>
    <xf numFmtId="0" fontId="2" fillId="0" borderId="0" xfId="3" applyFill="1" applyBorder="1"/>
    <xf numFmtId="0" fontId="2" fillId="0" borderId="0" xfId="3" applyFont="1" applyFill="1" applyBorder="1"/>
    <xf numFmtId="0" fontId="7" fillId="0" borderId="0" xfId="3" applyFont="1" applyFill="1" applyBorder="1"/>
    <xf numFmtId="0" fontId="2" fillId="0" borderId="0" xfId="4" applyFill="1" applyBorder="1"/>
    <xf numFmtId="17" fontId="5" fillId="0" borderId="0" xfId="3" applyNumberFormat="1" applyFont="1" applyFill="1" applyBorder="1"/>
    <xf numFmtId="165" fontId="2" fillId="0" borderId="0" xfId="4" quotePrefix="1" applyNumberFormat="1" applyFont="1" applyFill="1" applyBorder="1"/>
    <xf numFmtId="0" fontId="5" fillId="0" borderId="0" xfId="3" applyFont="1" applyFill="1" applyBorder="1"/>
    <xf numFmtId="165" fontId="2" fillId="0" borderId="0" xfId="4" applyNumberFormat="1" applyFill="1" applyBorder="1"/>
    <xf numFmtId="166" fontId="2" fillId="0" borderId="0" xfId="4" applyNumberFormat="1" applyFill="1" applyBorder="1"/>
    <xf numFmtId="0" fontId="2" fillId="0" borderId="0" xfId="4" applyFont="1" applyBorder="1"/>
    <xf numFmtId="1" fontId="2" fillId="0" borderId="0" xfId="4" quotePrefix="1" applyNumberFormat="1" applyFont="1" applyBorder="1"/>
    <xf numFmtId="1" fontId="2" fillId="0" borderId="0" xfId="4" applyNumberFormat="1" applyBorder="1"/>
    <xf numFmtId="0" fontId="2" fillId="0" borderId="0" xfId="4" applyBorder="1"/>
    <xf numFmtId="0" fontId="2" fillId="0" borderId="0" xfId="4" quotePrefix="1" applyFont="1" applyBorder="1"/>
    <xf numFmtId="1" fontId="2" fillId="0" borderId="0" xfId="4" applyNumberFormat="1" applyFill="1" applyBorder="1"/>
    <xf numFmtId="165" fontId="5" fillId="0" borderId="0" xfId="4" applyNumberFormat="1" applyFont="1" applyFill="1" applyBorder="1"/>
    <xf numFmtId="164" fontId="2" fillId="0" borderId="0" xfId="4" quotePrefix="1" applyNumberFormat="1" applyFont="1" applyBorder="1"/>
    <xf numFmtId="165" fontId="4" fillId="0" borderId="0" xfId="4" applyNumberFormat="1" applyFont="1" applyFill="1" applyBorder="1"/>
    <xf numFmtId="0" fontId="2" fillId="0" borderId="0" xfId="4" quotePrefix="1" applyFont="1" applyFill="1" applyBorder="1"/>
    <xf numFmtId="165" fontId="2" fillId="0" borderId="0" xfId="4" applyNumberFormat="1" applyBorder="1"/>
    <xf numFmtId="0" fontId="4" fillId="0" borderId="0" xfId="4" applyFont="1" applyBorder="1"/>
    <xf numFmtId="0" fontId="4" fillId="0" borderId="0" xfId="2" applyFont="1" applyBorder="1"/>
    <xf numFmtId="0" fontId="2" fillId="0" borderId="0" xfId="2" applyBorder="1"/>
    <xf numFmtId="0" fontId="6" fillId="0" borderId="0" xfId="2" applyFont="1" applyBorder="1"/>
    <xf numFmtId="0" fontId="5" fillId="0" borderId="0" xfId="2" applyFont="1" applyBorder="1"/>
    <xf numFmtId="0" fontId="2" fillId="0" borderId="0" xfId="2" quotePrefix="1" applyFont="1" applyBorder="1"/>
    <xf numFmtId="0" fontId="2" fillId="0" borderId="0" xfId="2" applyFont="1" applyBorder="1"/>
    <xf numFmtId="0" fontId="2" fillId="0" borderId="0" xfId="2" quotePrefix="1" applyBorder="1"/>
    <xf numFmtId="3" fontId="2" fillId="0" borderId="0" xfId="2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0" applyNumberFormat="1" applyBorder="1"/>
    <xf numFmtId="9" fontId="0" fillId="0" borderId="0" xfId="0" applyNumberFormat="1" applyBorder="1"/>
    <xf numFmtId="165" fontId="2" fillId="0" borderId="0" xfId="2" applyNumberFormat="1" applyBorder="1"/>
    <xf numFmtId="0" fontId="4" fillId="0" borderId="0" xfId="0" applyFont="1" applyFill="1" applyBorder="1" applyAlignment="1">
      <alignment readingOrder="2"/>
    </xf>
    <xf numFmtId="9" fontId="0" fillId="0" borderId="0" xfId="5" applyFont="1" applyFill="1" applyBorder="1"/>
    <xf numFmtId="0" fontId="0" fillId="0" borderId="0" xfId="0" quotePrefix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2" xfId="1" applyFont="1" applyBorder="1"/>
    <xf numFmtId="165" fontId="2" fillId="0" borderId="0" xfId="1" applyNumberFormat="1"/>
    <xf numFmtId="165" fontId="4" fillId="0" borderId="0" xfId="1" applyNumberFormat="1" applyFont="1"/>
    <xf numFmtId="0" fontId="5" fillId="0" borderId="0" xfId="1" applyFont="1" applyFill="1"/>
    <xf numFmtId="0" fontId="5" fillId="0" borderId="0" xfId="0" applyFont="1" applyFill="1" applyBorder="1"/>
    <xf numFmtId="165" fontId="5" fillId="0" borderId="0" xfId="0" applyNumberFormat="1" applyFont="1" applyFill="1" applyBorder="1"/>
    <xf numFmtId="0" fontId="5" fillId="0" borderId="2" xfId="0" applyFont="1" applyFill="1" applyBorder="1" applyAlignment="1"/>
    <xf numFmtId="165" fontId="5" fillId="0" borderId="0" xfId="0" applyNumberFormat="1" applyFont="1"/>
    <xf numFmtId="0" fontId="8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1" fontId="2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0" xfId="1" applyFill="1" applyAlignment="1">
      <alignment horizontal="center"/>
    </xf>
    <xf numFmtId="1" fontId="2" fillId="0" borderId="0" xfId="1" applyNumberForma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4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right" readingOrder="2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Alignment="1"/>
    <xf numFmtId="14" fontId="2" fillId="0" borderId="0" xfId="1" applyNumberFormat="1" applyAlignment="1">
      <alignment horizontal="center"/>
    </xf>
    <xf numFmtId="1" fontId="2" fillId="0" borderId="0" xfId="1" applyNumberFormat="1"/>
    <xf numFmtId="1" fontId="6" fillId="0" borderId="0" xfId="1" applyNumberFormat="1" applyFont="1"/>
    <xf numFmtId="1" fontId="4" fillId="0" borderId="0" xfId="1" applyNumberFormat="1" applyFont="1"/>
    <xf numFmtId="1" fontId="2" fillId="0" borderId="0" xfId="1" applyNumberFormat="1" applyFont="1"/>
    <xf numFmtId="0" fontId="11" fillId="0" borderId="0" xfId="7" applyFont="1"/>
    <xf numFmtId="0" fontId="10" fillId="0" borderId="0" xfId="7" applyAlignment="1">
      <alignment horizontal="center"/>
    </xf>
    <xf numFmtId="0" fontId="10" fillId="0" borderId="0" xfId="7"/>
    <xf numFmtId="9" fontId="10" fillId="0" borderId="0" xfId="7" applyNumberFormat="1"/>
    <xf numFmtId="3" fontId="10" fillId="0" borderId="0" xfId="7" applyNumberFormat="1"/>
    <xf numFmtId="0" fontId="11" fillId="0" borderId="0" xfId="7" applyFont="1" applyAlignment="1">
      <alignment horizontal="center"/>
    </xf>
    <xf numFmtId="0" fontId="12" fillId="0" borderId="0" xfId="7" applyFont="1" applyBorder="1"/>
    <xf numFmtId="0" fontId="13" fillId="0" borderId="0" xfId="7" applyFont="1"/>
    <xf numFmtId="3" fontId="10" fillId="0" borderId="2" xfId="7" applyNumberFormat="1" applyBorder="1"/>
    <xf numFmtId="0" fontId="9" fillId="0" borderId="0" xfId="7" quotePrefix="1" applyFont="1" applyAlignment="1">
      <alignment horizontal="right"/>
    </xf>
    <xf numFmtId="0" fontId="10" fillId="0" borderId="0" xfId="7" quotePrefix="1" applyAlignment="1">
      <alignment horizontal="right"/>
    </xf>
    <xf numFmtId="0" fontId="10" fillId="0" borderId="0" xfId="7" applyFont="1"/>
    <xf numFmtId="0" fontId="13" fillId="0" borderId="0" xfId="7" quotePrefix="1" applyFont="1"/>
    <xf numFmtId="0" fontId="10" fillId="0" borderId="0" xfId="7" quotePrefix="1" applyFont="1" applyAlignment="1">
      <alignment horizontal="right"/>
    </xf>
    <xf numFmtId="3" fontId="10" fillId="0" borderId="0" xfId="7" applyNumberFormat="1" applyBorder="1"/>
    <xf numFmtId="3" fontId="10" fillId="0" borderId="3" xfId="7" applyNumberFormat="1" applyBorder="1"/>
    <xf numFmtId="0" fontId="10" fillId="0" borderId="0" xfId="7" quotePrefix="1"/>
    <xf numFmtId="8" fontId="10" fillId="0" borderId="0" xfId="7" applyNumberFormat="1"/>
    <xf numFmtId="0" fontId="9" fillId="0" borderId="0" xfId="7" applyFont="1"/>
    <xf numFmtId="3" fontId="9" fillId="0" borderId="0" xfId="7" quotePrefix="1" applyNumberFormat="1" applyFont="1" applyAlignment="1">
      <alignment horizontal="center"/>
    </xf>
    <xf numFmtId="0" fontId="10" fillId="0" borderId="0" xfId="7" applyBorder="1"/>
    <xf numFmtId="3" fontId="9" fillId="0" borderId="2" xfId="7" quotePrefix="1" applyNumberFormat="1" applyFont="1" applyBorder="1" applyAlignment="1">
      <alignment horizontal="center"/>
    </xf>
    <xf numFmtId="0" fontId="9" fillId="0" borderId="0" xfId="7" applyFont="1" applyAlignment="1">
      <alignment horizontal="center"/>
    </xf>
    <xf numFmtId="0" fontId="9" fillId="0" borderId="2" xfId="7" quotePrefix="1" applyFont="1" applyBorder="1" applyAlignment="1">
      <alignment horizontal="center"/>
    </xf>
    <xf numFmtId="3" fontId="10" fillId="0" borderId="0" xfId="7" applyNumberFormat="1" applyAlignment="1">
      <alignment horizontal="center"/>
    </xf>
    <xf numFmtId="3" fontId="10" fillId="0" borderId="2" xfId="7" applyNumberFormat="1" applyBorder="1" applyAlignment="1">
      <alignment horizontal="center"/>
    </xf>
    <xf numFmtId="0" fontId="10" fillId="0" borderId="0" xfId="7" applyAlignment="1">
      <alignment horizontal="right"/>
    </xf>
    <xf numFmtId="0" fontId="10" fillId="0" borderId="0" xfId="7" applyAlignment="1">
      <alignment horizontal="left"/>
    </xf>
    <xf numFmtId="0" fontId="10" fillId="0" borderId="2" xfId="7" applyBorder="1"/>
    <xf numFmtId="3" fontId="10" fillId="0" borderId="0" xfId="7" quotePrefix="1" applyNumberFormat="1"/>
    <xf numFmtId="0" fontId="14" fillId="0" borderId="0" xfId="7" applyFont="1"/>
    <xf numFmtId="0" fontId="15" fillId="0" borderId="0" xfId="7" applyFont="1"/>
    <xf numFmtId="0" fontId="16" fillId="0" borderId="0" xfId="7" applyFont="1"/>
    <xf numFmtId="0" fontId="9" fillId="0" borderId="0" xfId="7" applyFont="1" applyAlignment="1">
      <alignment horizontal="right"/>
    </xf>
    <xf numFmtId="169" fontId="9" fillId="0" borderId="0" xfId="6" applyNumberFormat="1" applyFont="1"/>
    <xf numFmtId="169" fontId="0" fillId="0" borderId="0" xfId="6" applyNumberFormat="1" applyFont="1" applyAlignment="1"/>
    <xf numFmtId="169" fontId="0" fillId="0" borderId="0" xfId="6" applyNumberFormat="1" applyFont="1"/>
    <xf numFmtId="169" fontId="10" fillId="0" borderId="4" xfId="7" applyNumberFormat="1" applyBorder="1"/>
    <xf numFmtId="0" fontId="1" fillId="0" borderId="0" xfId="7" applyFont="1" applyAlignment="1">
      <alignment horizontal="right"/>
    </xf>
    <xf numFmtId="169" fontId="0" fillId="0" borderId="2" xfId="6" applyNumberFormat="1" applyFont="1" applyBorder="1"/>
    <xf numFmtId="169" fontId="9" fillId="0" borderId="4" xfId="6" applyNumberFormat="1" applyFont="1" applyBorder="1"/>
    <xf numFmtId="169" fontId="0" fillId="0" borderId="0" xfId="6" applyNumberFormat="1" applyFont="1" applyBorder="1"/>
    <xf numFmtId="169" fontId="0" fillId="0" borderId="5" xfId="6" applyNumberFormat="1" applyFont="1" applyBorder="1"/>
    <xf numFmtId="0" fontId="10" fillId="0" borderId="6" xfId="7" applyBorder="1"/>
    <xf numFmtId="0" fontId="10" fillId="0" borderId="7" xfId="7" applyBorder="1"/>
    <xf numFmtId="0" fontId="10" fillId="0" borderId="8" xfId="7" applyBorder="1"/>
    <xf numFmtId="0" fontId="10" fillId="0" borderId="9" xfId="7" applyBorder="1"/>
    <xf numFmtId="0" fontId="10" fillId="0" borderId="10" xfId="7" applyBorder="1"/>
    <xf numFmtId="0" fontId="10" fillId="0" borderId="3" xfId="7" applyBorder="1"/>
    <xf numFmtId="0" fontId="10" fillId="0" borderId="11" xfId="7" applyBorder="1"/>
    <xf numFmtId="0" fontId="16" fillId="0" borderId="12" xfId="7" applyFont="1" applyBorder="1"/>
    <xf numFmtId="0" fontId="10" fillId="0" borderId="4" xfId="7" applyBorder="1"/>
    <xf numFmtId="0" fontId="10" fillId="0" borderId="13" xfId="7" applyBorder="1"/>
    <xf numFmtId="0" fontId="10" fillId="0" borderId="14" xfId="7" applyBorder="1"/>
    <xf numFmtId="0" fontId="10" fillId="0" borderId="15" xfId="7" applyBorder="1"/>
    <xf numFmtId="0" fontId="10" fillId="0" borderId="16" xfId="7" applyBorder="1"/>
    <xf numFmtId="0" fontId="10" fillId="0" borderId="17" xfId="7" applyBorder="1"/>
    <xf numFmtId="0" fontId="10" fillId="0" borderId="18" xfId="7" applyBorder="1"/>
    <xf numFmtId="0" fontId="10" fillId="0" borderId="7" xfId="7" applyBorder="1" applyAlignment="1">
      <alignment horizontal="right"/>
    </xf>
    <xf numFmtId="169" fontId="0" fillId="0" borderId="9" xfId="6" applyNumberFormat="1" applyFont="1" applyBorder="1"/>
    <xf numFmtId="9" fontId="10" fillId="0" borderId="0" xfId="7" applyNumberFormat="1" applyBorder="1"/>
    <xf numFmtId="0" fontId="10" fillId="0" borderId="2" xfId="7" applyBorder="1" applyAlignment="1">
      <alignment horizontal="center" vertical="center"/>
    </xf>
    <xf numFmtId="0" fontId="10" fillId="0" borderId="19" xfId="7" applyBorder="1" applyAlignment="1">
      <alignment horizontal="right"/>
    </xf>
    <xf numFmtId="169" fontId="0" fillId="0" borderId="20" xfId="6" applyNumberFormat="1" applyFont="1" applyBorder="1"/>
    <xf numFmtId="0" fontId="10" fillId="0" borderId="0" xfId="7" applyBorder="1" applyAlignment="1">
      <alignment horizontal="center" vertical="center"/>
    </xf>
    <xf numFmtId="0" fontId="10" fillId="0" borderId="10" xfId="7" applyBorder="1" applyAlignment="1">
      <alignment horizontal="right"/>
    </xf>
    <xf numFmtId="169" fontId="0" fillId="0" borderId="11" xfId="6" applyNumberFormat="1" applyFont="1" applyBorder="1"/>
    <xf numFmtId="170" fontId="0" fillId="0" borderId="0" xfId="8" applyNumberFormat="1" applyFont="1" applyBorder="1"/>
    <xf numFmtId="170" fontId="10" fillId="0" borderId="0" xfId="7" applyNumberFormat="1" applyBorder="1"/>
    <xf numFmtId="0" fontId="10" fillId="0" borderId="21" xfId="7" applyBorder="1"/>
    <xf numFmtId="0" fontId="10" fillId="0" borderId="22" xfId="7" applyBorder="1"/>
    <xf numFmtId="0" fontId="17" fillId="0" borderId="0" xfId="7" applyFont="1"/>
    <xf numFmtId="169" fontId="0" fillId="0" borderId="4" xfId="6" applyNumberFormat="1" applyFont="1" applyBorder="1"/>
    <xf numFmtId="169" fontId="10" fillId="0" borderId="0" xfId="7" applyNumberFormat="1"/>
    <xf numFmtId="169" fontId="10" fillId="0" borderId="23" xfId="7" applyNumberFormat="1" applyBorder="1"/>
    <xf numFmtId="0" fontId="10" fillId="0" borderId="12" xfId="7" applyBorder="1"/>
    <xf numFmtId="9" fontId="10" fillId="0" borderId="13" xfId="7" applyNumberFormat="1" applyBorder="1"/>
    <xf numFmtId="9" fontId="10" fillId="0" borderId="22" xfId="7" applyNumberFormat="1" applyBorder="1"/>
    <xf numFmtId="9" fontId="0" fillId="0" borderId="1" xfId="8" applyFont="1" applyBorder="1"/>
    <xf numFmtId="9" fontId="10" fillId="0" borderId="1" xfId="7" applyNumberFormat="1" applyBorder="1"/>
    <xf numFmtId="0" fontId="10" fillId="0" borderId="0" xfId="7" applyAlignment="1">
      <alignment wrapText="1"/>
    </xf>
    <xf numFmtId="0" fontId="10" fillId="0" borderId="1" xfId="7" applyBorder="1" applyAlignment="1">
      <alignment wrapText="1"/>
    </xf>
    <xf numFmtId="0" fontId="11" fillId="0" borderId="0" xfId="7" applyFont="1" applyAlignment="1">
      <alignment horizontal="center" vertical="center"/>
    </xf>
    <xf numFmtId="0" fontId="9" fillId="0" borderId="4" xfId="7" applyFont="1" applyBorder="1" applyAlignment="1">
      <alignment horizontal="center"/>
    </xf>
    <xf numFmtId="0" fontId="9" fillId="0" borderId="13" xfId="7" applyFont="1" applyBorder="1" applyAlignment="1">
      <alignment horizontal="center"/>
    </xf>
    <xf numFmtId="169" fontId="0" fillId="0" borderId="18" xfId="6" applyNumberFormat="1" applyFont="1" applyBorder="1"/>
    <xf numFmtId="169" fontId="0" fillId="0" borderId="22" xfId="6" applyNumberFormat="1" applyFont="1" applyBorder="1"/>
    <xf numFmtId="0" fontId="9" fillId="0" borderId="12" xfId="7" applyFont="1" applyBorder="1"/>
    <xf numFmtId="169" fontId="0" fillId="0" borderId="0" xfId="6" applyNumberFormat="1" applyFont="1" applyFill="1" applyBorder="1"/>
    <xf numFmtId="169" fontId="0" fillId="0" borderId="2" xfId="6" applyNumberFormat="1" applyFont="1" applyFill="1" applyBorder="1"/>
    <xf numFmtId="0" fontId="10" fillId="0" borderId="0" xfId="7" applyAlignment="1">
      <alignment horizontal="left" indent="1" readingOrder="1"/>
    </xf>
    <xf numFmtId="169" fontId="0" fillId="0" borderId="0" xfId="6" applyNumberFormat="1" applyFont="1" applyFill="1"/>
    <xf numFmtId="0" fontId="10" fillId="0" borderId="0" xfId="7" applyAlignment="1">
      <alignment horizontal="right" indent="1"/>
    </xf>
    <xf numFmtId="170" fontId="10" fillId="0" borderId="0" xfId="7" applyNumberFormat="1"/>
    <xf numFmtId="171" fontId="10" fillId="0" borderId="0" xfId="7" applyNumberFormat="1"/>
    <xf numFmtId="10" fontId="10" fillId="0" borderId="0" xfId="7" applyNumberFormat="1"/>
    <xf numFmtId="0" fontId="6" fillId="0" borderId="0" xfId="0" applyFont="1" applyFill="1" applyAlignme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6" fillId="0" borderId="0" xfId="1" applyFont="1" applyAlignment="1">
      <alignment horizontal="center" readingOrder="2"/>
    </xf>
    <xf numFmtId="0" fontId="2" fillId="0" borderId="0" xfId="1" applyFont="1" applyAlignment="1">
      <alignment horizontal="center"/>
    </xf>
  </cellXfs>
  <cellStyles count="9">
    <cellStyle name="Comma 2" xfId="6"/>
    <cellStyle name="Normal" xfId="0" builtinId="0"/>
    <cellStyle name="Normal 2" xfId="1"/>
    <cellStyle name="Normal 2 2" xfId="2"/>
    <cellStyle name="Normal 2_מועד_ג_תשעא_יאס12" xfId="3"/>
    <cellStyle name="Normal 3" xfId="7"/>
    <cellStyle name="Normal_מועד_ג_תשעא_יאס12" xfId="4"/>
    <cellStyle name="Percent" xfId="5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70</xdr:row>
      <xdr:rowOff>95250</xdr:rowOff>
    </xdr:from>
    <xdr:to>
      <xdr:col>14</xdr:col>
      <xdr:colOff>28575</xdr:colOff>
      <xdr:row>70</xdr:row>
      <xdr:rowOff>104775</xdr:rowOff>
    </xdr:to>
    <xdr:cxnSp macro="">
      <xdr:nvCxnSpPr>
        <xdr:cNvPr id="2" name="Straight Arrow Connector 3"/>
        <xdr:cNvCxnSpPr/>
      </xdr:nvCxnSpPr>
      <xdr:spPr>
        <a:xfrm flipH="1" flipV="1">
          <a:off x="11226965100" y="13277850"/>
          <a:ext cx="16192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3</xdr:row>
      <xdr:rowOff>0</xdr:rowOff>
    </xdr:from>
    <xdr:to>
      <xdr:col>11</xdr:col>
      <xdr:colOff>447675</xdr:colOff>
      <xdr:row>4</xdr:row>
      <xdr:rowOff>171450</xdr:rowOff>
    </xdr:to>
    <xdr:cxnSp macro="">
      <xdr:nvCxnSpPr>
        <xdr:cNvPr id="3" name="Straight Arrow Connector 5"/>
        <xdr:cNvCxnSpPr/>
      </xdr:nvCxnSpPr>
      <xdr:spPr>
        <a:xfrm flipH="1">
          <a:off x="11228670075" y="600075"/>
          <a:ext cx="42862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</xdr:row>
      <xdr:rowOff>161925</xdr:rowOff>
    </xdr:from>
    <xdr:to>
      <xdr:col>10</xdr:col>
      <xdr:colOff>28574</xdr:colOff>
      <xdr:row>4</xdr:row>
      <xdr:rowOff>123825</xdr:rowOff>
    </xdr:to>
    <xdr:cxnSp macro="">
      <xdr:nvCxnSpPr>
        <xdr:cNvPr id="4" name="Straight Arrow Connector 6"/>
        <xdr:cNvCxnSpPr/>
      </xdr:nvCxnSpPr>
      <xdr:spPr>
        <a:xfrm>
          <a:off x="11230032151" y="581025"/>
          <a:ext cx="409574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3</xdr:row>
      <xdr:rowOff>9525</xdr:rowOff>
    </xdr:from>
    <xdr:to>
      <xdr:col>10</xdr:col>
      <xdr:colOff>466724</xdr:colOff>
      <xdr:row>5</xdr:row>
      <xdr:rowOff>28575</xdr:rowOff>
    </xdr:to>
    <xdr:cxnSp macro="">
      <xdr:nvCxnSpPr>
        <xdr:cNvPr id="5" name="Straight Arrow Connector 8"/>
        <xdr:cNvCxnSpPr/>
      </xdr:nvCxnSpPr>
      <xdr:spPr>
        <a:xfrm>
          <a:off x="11229594001" y="609600"/>
          <a:ext cx="9524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12</xdr:row>
      <xdr:rowOff>0</xdr:rowOff>
    </xdr:from>
    <xdr:to>
      <xdr:col>11</xdr:col>
      <xdr:colOff>447675</xdr:colOff>
      <xdr:row>13</xdr:row>
      <xdr:rowOff>171450</xdr:rowOff>
    </xdr:to>
    <xdr:cxnSp macro="">
      <xdr:nvCxnSpPr>
        <xdr:cNvPr id="6" name="Straight Arrow Connector 10"/>
        <xdr:cNvCxnSpPr/>
      </xdr:nvCxnSpPr>
      <xdr:spPr>
        <a:xfrm flipH="1">
          <a:off x="11228670075" y="2247900"/>
          <a:ext cx="42862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11</xdr:row>
      <xdr:rowOff>161925</xdr:rowOff>
    </xdr:from>
    <xdr:to>
      <xdr:col>10</xdr:col>
      <xdr:colOff>28574</xdr:colOff>
      <xdr:row>13</xdr:row>
      <xdr:rowOff>123825</xdr:rowOff>
    </xdr:to>
    <xdr:cxnSp macro="">
      <xdr:nvCxnSpPr>
        <xdr:cNvPr id="7" name="Straight Arrow Connector 11"/>
        <xdr:cNvCxnSpPr/>
      </xdr:nvCxnSpPr>
      <xdr:spPr>
        <a:xfrm>
          <a:off x="11230032151" y="2228850"/>
          <a:ext cx="409574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12</xdr:row>
      <xdr:rowOff>9525</xdr:rowOff>
    </xdr:from>
    <xdr:to>
      <xdr:col>10</xdr:col>
      <xdr:colOff>466724</xdr:colOff>
      <xdr:row>14</xdr:row>
      <xdr:rowOff>28575</xdr:rowOff>
    </xdr:to>
    <xdr:cxnSp macro="">
      <xdr:nvCxnSpPr>
        <xdr:cNvPr id="8" name="Straight Arrow Connector 12"/>
        <xdr:cNvCxnSpPr/>
      </xdr:nvCxnSpPr>
      <xdr:spPr>
        <a:xfrm>
          <a:off x="11229594001" y="2257425"/>
          <a:ext cx="9524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21</xdr:row>
      <xdr:rowOff>0</xdr:rowOff>
    </xdr:from>
    <xdr:to>
      <xdr:col>11</xdr:col>
      <xdr:colOff>447675</xdr:colOff>
      <xdr:row>22</xdr:row>
      <xdr:rowOff>171450</xdr:rowOff>
    </xdr:to>
    <xdr:cxnSp macro="">
      <xdr:nvCxnSpPr>
        <xdr:cNvPr id="9" name="Straight Arrow Connector 13"/>
        <xdr:cNvCxnSpPr/>
      </xdr:nvCxnSpPr>
      <xdr:spPr>
        <a:xfrm flipH="1">
          <a:off x="11228670075" y="3895725"/>
          <a:ext cx="42862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20</xdr:row>
      <xdr:rowOff>161925</xdr:rowOff>
    </xdr:from>
    <xdr:to>
      <xdr:col>10</xdr:col>
      <xdr:colOff>28574</xdr:colOff>
      <xdr:row>22</xdr:row>
      <xdr:rowOff>123825</xdr:rowOff>
    </xdr:to>
    <xdr:cxnSp macro="">
      <xdr:nvCxnSpPr>
        <xdr:cNvPr id="10" name="Straight Arrow Connector 14"/>
        <xdr:cNvCxnSpPr/>
      </xdr:nvCxnSpPr>
      <xdr:spPr>
        <a:xfrm>
          <a:off x="11230032151" y="3876675"/>
          <a:ext cx="409574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21</xdr:row>
      <xdr:rowOff>9525</xdr:rowOff>
    </xdr:from>
    <xdr:to>
      <xdr:col>10</xdr:col>
      <xdr:colOff>466724</xdr:colOff>
      <xdr:row>23</xdr:row>
      <xdr:rowOff>28575</xdr:rowOff>
    </xdr:to>
    <xdr:cxnSp macro="">
      <xdr:nvCxnSpPr>
        <xdr:cNvPr id="11" name="Straight Arrow Connector 15"/>
        <xdr:cNvCxnSpPr/>
      </xdr:nvCxnSpPr>
      <xdr:spPr>
        <a:xfrm>
          <a:off x="11229594001" y="3905250"/>
          <a:ext cx="9524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25</xdr:row>
      <xdr:rowOff>0</xdr:rowOff>
    </xdr:from>
    <xdr:to>
      <xdr:col>8</xdr:col>
      <xdr:colOff>409575</xdr:colOff>
      <xdr:row>29</xdr:row>
      <xdr:rowOff>9525</xdr:rowOff>
    </xdr:to>
    <xdr:cxnSp macro="">
      <xdr:nvCxnSpPr>
        <xdr:cNvPr id="12" name="Straight Arrow Connector 2"/>
        <xdr:cNvCxnSpPr/>
      </xdr:nvCxnSpPr>
      <xdr:spPr>
        <a:xfrm flipV="1">
          <a:off x="11231127525" y="4648200"/>
          <a:ext cx="0" cy="752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AYAN\Desktop\&#1508;&#1514;&#1512;&#1493;&#1503;%20&#1513;&#1488;&#1500;&#1492;%20&#1502;&#1493;&#1506;&#1491;%20&#1488;-%20&#1504;&#1493;&#1506;&#15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שקעה בחברת עדי"/>
      <sheetName val="השקעה בחברת גלי"/>
    </sheetNames>
    <sheetDataSet>
      <sheetData sheetId="0" refreshError="1"/>
      <sheetData sheetId="1">
        <row r="57">
          <cell r="C57">
            <v>490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rightToLeft="1" topLeftCell="A118" zoomScaleNormal="100" workbookViewId="0">
      <selection activeCell="C139" sqref="C139"/>
    </sheetView>
  </sheetViews>
  <sheetFormatPr defaultRowHeight="12.75"/>
  <cols>
    <col min="1" max="1" width="62.85546875" customWidth="1"/>
    <col min="2" max="2" width="16" bestFit="1" customWidth="1"/>
    <col min="3" max="3" width="16.7109375" bestFit="1" customWidth="1"/>
    <col min="4" max="4" width="17.42578125" bestFit="1" customWidth="1"/>
    <col min="5" max="5" width="10.28515625" bestFit="1" customWidth="1"/>
    <col min="6" max="6" width="10.85546875" bestFit="1" customWidth="1"/>
    <col min="7" max="7" width="10.140625" customWidth="1"/>
    <col min="8" max="8" width="9.28515625" bestFit="1" customWidth="1"/>
    <col min="9" max="9" width="6.7109375" customWidth="1"/>
  </cols>
  <sheetData>
    <row r="1" spans="1:7">
      <c r="A1" s="1" t="s">
        <v>35</v>
      </c>
    </row>
    <row r="2" spans="1:7">
      <c r="A2" s="1" t="s">
        <v>0</v>
      </c>
    </row>
    <row r="3" spans="1:7">
      <c r="A3" s="1"/>
    </row>
    <row r="4" spans="1:7">
      <c r="A4" s="1" t="s">
        <v>33</v>
      </c>
    </row>
    <row r="6" spans="1:7" s="7" customFormat="1">
      <c r="A6" s="7" t="s">
        <v>1</v>
      </c>
      <c r="B6" s="9">
        <v>500000</v>
      </c>
    </row>
    <row r="7" spans="1:7" s="7" customFormat="1">
      <c r="A7" s="6" t="s">
        <v>2</v>
      </c>
      <c r="B7" s="9"/>
    </row>
    <row r="8" spans="1:7" s="7" customFormat="1">
      <c r="A8" s="15" t="s">
        <v>64</v>
      </c>
      <c r="B8" s="9">
        <v>4666.666666666667</v>
      </c>
      <c r="C8" s="7" t="s">
        <v>18</v>
      </c>
      <c r="G8" s="8" t="s">
        <v>65</v>
      </c>
    </row>
    <row r="9" spans="1:7" s="7" customFormat="1">
      <c r="A9" s="15" t="s">
        <v>68</v>
      </c>
      <c r="B9" s="9">
        <f>-B88</f>
        <v>7999.9999999999927</v>
      </c>
      <c r="C9" s="7" t="s">
        <v>18</v>
      </c>
      <c r="G9" s="8"/>
    </row>
    <row r="10" spans="1:7" s="7" customFormat="1">
      <c r="A10" s="15" t="s">
        <v>71</v>
      </c>
      <c r="B10" s="9">
        <v>30000</v>
      </c>
      <c r="C10" s="7" t="s">
        <v>18</v>
      </c>
      <c r="G10" s="8" t="s">
        <v>72</v>
      </c>
    </row>
    <row r="11" spans="1:7" s="7" customFormat="1">
      <c r="A11" s="21" t="s">
        <v>100</v>
      </c>
      <c r="B11" s="9">
        <f>-B124</f>
        <v>3585.4711471596856</v>
      </c>
      <c r="C11" s="7" t="s">
        <v>18</v>
      </c>
      <c r="G11" s="8"/>
    </row>
    <row r="12" spans="1:7" s="7" customFormat="1">
      <c r="A12" s="5" t="s">
        <v>10</v>
      </c>
      <c r="B12" s="9">
        <v>10000</v>
      </c>
    </row>
    <row r="13" spans="1:7" s="7" customFormat="1">
      <c r="A13" s="5"/>
      <c r="B13" s="10">
        <f>SUM(B8:B12)</f>
        <v>56252.137813826339</v>
      </c>
    </row>
    <row r="14" spans="1:7" s="7" customFormat="1">
      <c r="A14" s="5"/>
    </row>
    <row r="15" spans="1:7" s="7" customFormat="1">
      <c r="A15" s="6" t="s">
        <v>3</v>
      </c>
      <c r="B15" s="9"/>
    </row>
    <row r="16" spans="1:7" s="7" customFormat="1">
      <c r="A16" s="5" t="s">
        <v>43</v>
      </c>
      <c r="B16" s="9">
        <f>+B76</f>
        <v>13890</v>
      </c>
      <c r="C16" s="7" t="s">
        <v>18</v>
      </c>
    </row>
    <row r="17" spans="1:7" s="7" customFormat="1">
      <c r="A17" s="5" t="s">
        <v>66</v>
      </c>
      <c r="B17" s="9">
        <v>3000</v>
      </c>
      <c r="C17" s="7" t="s">
        <v>18</v>
      </c>
      <c r="G17" s="8" t="s">
        <v>67</v>
      </c>
    </row>
    <row r="18" spans="1:7" s="7" customFormat="1">
      <c r="A18" s="21" t="s">
        <v>101</v>
      </c>
      <c r="B18" s="9">
        <f>-B125</f>
        <v>2888.4870479156893</v>
      </c>
      <c r="C18" s="7" t="s">
        <v>18</v>
      </c>
      <c r="G18" s="8"/>
    </row>
    <row r="19" spans="1:7" s="7" customFormat="1">
      <c r="A19" s="21" t="s">
        <v>102</v>
      </c>
      <c r="B19" s="9">
        <v>3000</v>
      </c>
      <c r="C19" s="7" t="s">
        <v>18</v>
      </c>
      <c r="G19" s="8"/>
    </row>
    <row r="20" spans="1:7" s="7" customFormat="1">
      <c r="A20" s="21" t="s">
        <v>108</v>
      </c>
      <c r="B20" s="9">
        <v>20000</v>
      </c>
      <c r="G20" s="8"/>
    </row>
    <row r="21" spans="1:7" s="7" customFormat="1">
      <c r="B21" s="10">
        <f>SUM(B16:B20)</f>
        <v>42778.487047915689</v>
      </c>
    </row>
    <row r="22" spans="1:7" s="7" customFormat="1">
      <c r="B22" s="9"/>
    </row>
    <row r="23" spans="1:7">
      <c r="A23" s="1" t="s">
        <v>11</v>
      </c>
      <c r="B23" s="4">
        <f>+B6+B13-B21</f>
        <v>513473.65076591063</v>
      </c>
    </row>
    <row r="24" spans="1:7">
      <c r="B24" s="3"/>
    </row>
    <row r="25" spans="1:7">
      <c r="A25" s="1" t="s">
        <v>12</v>
      </c>
      <c r="B25" s="3"/>
    </row>
    <row r="26" spans="1:7">
      <c r="A26" t="s">
        <v>13</v>
      </c>
      <c r="B26" s="3">
        <f>+B23*0.25</f>
        <v>128368.41269147766</v>
      </c>
      <c r="G26" s="2" t="s">
        <v>128</v>
      </c>
    </row>
    <row r="27" spans="1:7">
      <c r="A27" t="s">
        <v>22</v>
      </c>
      <c r="B27" s="3">
        <f>-10000*0.35</f>
        <v>-3500</v>
      </c>
      <c r="G27" s="2" t="s">
        <v>109</v>
      </c>
    </row>
    <row r="28" spans="1:7">
      <c r="A28" t="s">
        <v>12</v>
      </c>
      <c r="B28" s="4">
        <f>SUM(B26:B27)</f>
        <v>124868.41269147766</v>
      </c>
      <c r="E28" s="2"/>
    </row>
    <row r="31" spans="1:7">
      <c r="A31" s="1"/>
      <c r="B31" s="4"/>
    </row>
    <row r="32" spans="1:7">
      <c r="A32" s="6" t="s">
        <v>4</v>
      </c>
      <c r="B32" s="7"/>
      <c r="C32" s="7"/>
      <c r="D32" s="7"/>
      <c r="E32" s="7"/>
    </row>
    <row r="33" spans="1:7">
      <c r="A33" s="7"/>
      <c r="B33" s="12" t="s">
        <v>25</v>
      </c>
      <c r="C33" s="13" t="s">
        <v>5</v>
      </c>
      <c r="D33" s="13" t="s">
        <v>24</v>
      </c>
      <c r="E33" s="12" t="s">
        <v>34</v>
      </c>
    </row>
    <row r="34" spans="1:7">
      <c r="A34" s="7" t="s">
        <v>44</v>
      </c>
      <c r="B34" s="9">
        <f>+B72</f>
        <v>0</v>
      </c>
      <c r="C34" s="9">
        <f>+E34-B34</f>
        <v>-2778</v>
      </c>
      <c r="D34" s="9"/>
      <c r="E34" s="9">
        <f>+B73</f>
        <v>-2778</v>
      </c>
    </row>
    <row r="35" spans="1:7">
      <c r="A35" s="7" t="s">
        <v>74</v>
      </c>
      <c r="B35" s="9">
        <f>+B84</f>
        <v>-2500.0000000000009</v>
      </c>
      <c r="C35" s="9">
        <f>+B94</f>
        <v>2624.6666666666665</v>
      </c>
      <c r="D35" s="9">
        <f>+B90</f>
        <v>2083.3333333333326</v>
      </c>
      <c r="E35" s="9">
        <f>+B96</f>
        <v>2208</v>
      </c>
    </row>
    <row r="36" spans="1:7">
      <c r="A36" s="7" t="s">
        <v>73</v>
      </c>
      <c r="B36" s="9">
        <f>+B101</f>
        <v>-4000</v>
      </c>
      <c r="C36" s="9">
        <f>+E36-B36</f>
        <v>6000</v>
      </c>
      <c r="D36" s="9"/>
      <c r="E36" s="9">
        <f>+B102</f>
        <v>2000</v>
      </c>
    </row>
    <row r="37" spans="1:7">
      <c r="A37" s="19" t="s">
        <v>110</v>
      </c>
      <c r="B37" s="9">
        <v>0</v>
      </c>
      <c r="C37" s="9">
        <f>+E37-B37</f>
        <v>-630.22</v>
      </c>
      <c r="D37" s="9"/>
      <c r="E37" s="9">
        <f>+B122</f>
        <v>-630.22</v>
      </c>
    </row>
    <row r="38" spans="1:7">
      <c r="A38" s="102" t="s">
        <v>111</v>
      </c>
      <c r="B38" s="20">
        <f>+B137</f>
        <v>0</v>
      </c>
      <c r="C38" s="20"/>
      <c r="D38" s="20">
        <f>+B130</f>
        <v>1366.6666666666681</v>
      </c>
      <c r="E38" s="20">
        <f>+B130</f>
        <v>1366.6666666666681</v>
      </c>
    </row>
    <row r="39" spans="1:7">
      <c r="A39" s="6" t="s">
        <v>14</v>
      </c>
      <c r="B39" s="10">
        <f>+SUM(B34:B38)</f>
        <v>-6500.0000000000009</v>
      </c>
      <c r="C39" s="10">
        <f>+SUM(C34:C38)</f>
        <v>5216.4466666666658</v>
      </c>
      <c r="D39" s="10">
        <f>+SUM(D34:D38)</f>
        <v>3450.0000000000009</v>
      </c>
      <c r="E39" s="10">
        <f>+SUM(E34:E38)</f>
        <v>2166.4466666666681</v>
      </c>
      <c r="G39" s="10"/>
    </row>
    <row r="40" spans="1:7">
      <c r="A40" s="7"/>
      <c r="B40" s="7"/>
      <c r="C40" s="7"/>
      <c r="D40" s="7"/>
      <c r="E40" s="7"/>
    </row>
    <row r="41" spans="1:7">
      <c r="A41" s="1" t="s">
        <v>16</v>
      </c>
    </row>
    <row r="42" spans="1:7">
      <c r="A42" s="42" t="s">
        <v>112</v>
      </c>
      <c r="B42" s="43"/>
      <c r="C42" s="43"/>
      <c r="D42" s="103"/>
      <c r="E42" s="43"/>
      <c r="F42" s="43"/>
      <c r="G42" s="43"/>
    </row>
    <row r="43" spans="1:7">
      <c r="A43" s="43" t="s">
        <v>113</v>
      </c>
      <c r="B43" s="43"/>
      <c r="C43" s="43"/>
      <c r="D43" s="103">
        <f>+B28</f>
        <v>124868.41269147766</v>
      </c>
      <c r="E43" s="43"/>
      <c r="F43" s="43"/>
      <c r="G43" s="43"/>
    </row>
    <row r="44" spans="1:7">
      <c r="A44" s="43" t="s">
        <v>114</v>
      </c>
      <c r="B44" s="43"/>
      <c r="C44" s="43"/>
      <c r="D44" s="103">
        <f>20000*0.25</f>
        <v>5000</v>
      </c>
      <c r="E44" s="43"/>
      <c r="F44" s="43"/>
      <c r="G44" s="45" t="s">
        <v>115</v>
      </c>
    </row>
    <row r="45" spans="1:7">
      <c r="A45" s="42" t="s">
        <v>116</v>
      </c>
      <c r="B45" s="42"/>
      <c r="C45" s="42"/>
      <c r="D45" s="104">
        <f>+D44+D43</f>
        <v>129868.41269147766</v>
      </c>
      <c r="E45" s="43"/>
      <c r="F45" s="43"/>
      <c r="G45" s="43"/>
    </row>
    <row r="46" spans="1:7">
      <c r="A46" s="1"/>
      <c r="D46" s="3"/>
    </row>
    <row r="47" spans="1:7">
      <c r="A47" s="1" t="s">
        <v>31</v>
      </c>
      <c r="D47" s="3"/>
    </row>
    <row r="48" spans="1:7">
      <c r="A48" t="s">
        <v>117</v>
      </c>
      <c r="D48" s="9">
        <f>0.25*(SUM(B17:B19)-SUM(B8:B9,B11))+0.2*(B16-B10)</f>
        <v>-5062.9126914776643</v>
      </c>
    </row>
    <row r="49" spans="1:7">
      <c r="A49" t="s">
        <v>17</v>
      </c>
      <c r="D49" s="9">
        <f>+D50-D48</f>
        <v>-153.53397518900147</v>
      </c>
    </row>
    <row r="50" spans="1:7">
      <c r="A50" s="1" t="s">
        <v>32</v>
      </c>
      <c r="B50" s="1"/>
      <c r="C50" s="1"/>
      <c r="D50" s="10">
        <f>-C39</f>
        <v>-5216.4466666666658</v>
      </c>
    </row>
    <row r="51" spans="1:7">
      <c r="A51" s="1" t="s">
        <v>23</v>
      </c>
      <c r="D51" s="10">
        <f>+D50+D45</f>
        <v>124651.96602481099</v>
      </c>
    </row>
    <row r="52" spans="1:7">
      <c r="A52" s="1"/>
      <c r="D52" s="4"/>
    </row>
    <row r="53" spans="1:7">
      <c r="A53" s="1" t="s">
        <v>19</v>
      </c>
    </row>
    <row r="54" spans="1:7">
      <c r="A54" s="6" t="s">
        <v>20</v>
      </c>
      <c r="B54" s="10">
        <f>500000*0.25</f>
        <v>125000</v>
      </c>
      <c r="C54" s="7"/>
      <c r="D54" s="7"/>
      <c r="E54" s="7"/>
      <c r="F54" s="7"/>
      <c r="G54" s="8" t="s">
        <v>124</v>
      </c>
    </row>
    <row r="55" spans="1:7" s="14" customFormat="1">
      <c r="A55" s="5" t="s">
        <v>122</v>
      </c>
      <c r="B55" s="37">
        <f>+B76*(0.2-0.25)</f>
        <v>-694.49999999999989</v>
      </c>
      <c r="C55" s="5"/>
      <c r="D55" s="5"/>
      <c r="E55" s="5"/>
      <c r="F55" s="5"/>
      <c r="G55" s="35" t="s">
        <v>127</v>
      </c>
    </row>
    <row r="56" spans="1:7" s="14" customFormat="1">
      <c r="A56" s="105" t="s">
        <v>118</v>
      </c>
      <c r="B56" s="37">
        <f>30000*0.05</f>
        <v>1500</v>
      </c>
      <c r="C56" s="5"/>
      <c r="D56" s="5"/>
      <c r="E56" s="5"/>
      <c r="F56" s="5"/>
      <c r="G56" s="35" t="s">
        <v>119</v>
      </c>
    </row>
    <row r="57" spans="1:7">
      <c r="A57" s="5" t="s">
        <v>10</v>
      </c>
      <c r="B57" s="9">
        <f>10000*-0.1</f>
        <v>-1000</v>
      </c>
      <c r="C57" s="7"/>
      <c r="D57" s="7"/>
      <c r="E57" s="7"/>
      <c r="F57" s="7"/>
      <c r="G57" s="8" t="s">
        <v>125</v>
      </c>
    </row>
    <row r="58" spans="1:7">
      <c r="A58" s="5" t="s">
        <v>17</v>
      </c>
      <c r="B58" s="9">
        <f>+D49:D49</f>
        <v>-153.53397518900147</v>
      </c>
      <c r="C58" s="7"/>
      <c r="D58" s="7"/>
      <c r="E58" s="7"/>
      <c r="F58" s="7"/>
      <c r="G58" s="7"/>
    </row>
    <row r="59" spans="1:7">
      <c r="A59" s="6" t="s">
        <v>21</v>
      </c>
      <c r="B59" s="10">
        <f>SUM(B54:B58)</f>
        <v>124651.966024811</v>
      </c>
      <c r="C59" s="9"/>
      <c r="D59" s="7"/>
      <c r="E59" s="7"/>
      <c r="F59" s="7"/>
      <c r="G59" s="7"/>
    </row>
    <row r="60" spans="1:7">
      <c r="A60" s="1"/>
      <c r="B60" s="3"/>
      <c r="C60" s="3"/>
    </row>
    <row r="61" spans="1:7">
      <c r="A61" s="7"/>
      <c r="B61" s="7"/>
      <c r="C61" s="7"/>
      <c r="D61" s="7"/>
      <c r="E61" s="7"/>
      <c r="F61" s="7"/>
      <c r="G61" s="7"/>
    </row>
    <row r="62" spans="1:7">
      <c r="A62" s="6" t="s">
        <v>15</v>
      </c>
      <c r="B62" s="7"/>
      <c r="C62" s="7"/>
      <c r="D62" s="7"/>
      <c r="E62" s="7"/>
      <c r="F62" s="7"/>
      <c r="G62" s="7"/>
    </row>
    <row r="63" spans="1:7">
      <c r="A63" s="11" t="s">
        <v>6</v>
      </c>
      <c r="B63" s="7"/>
      <c r="C63" s="7"/>
      <c r="D63" s="7"/>
      <c r="E63" s="7"/>
      <c r="F63" s="7"/>
      <c r="G63" s="7"/>
    </row>
    <row r="64" spans="1:7">
      <c r="A64" s="34" t="s">
        <v>36</v>
      </c>
      <c r="B64" s="7"/>
      <c r="C64" s="7"/>
      <c r="D64" s="7"/>
      <c r="E64" s="7"/>
      <c r="F64" s="7"/>
      <c r="G64" s="7"/>
    </row>
    <row r="65" spans="1:9" s="14" customFormat="1">
      <c r="A65" s="33"/>
      <c r="B65" s="9"/>
      <c r="C65" s="5"/>
      <c r="D65" s="6"/>
      <c r="E65" s="5"/>
      <c r="F65" s="5"/>
      <c r="G65" s="5"/>
      <c r="H65" s="5"/>
      <c r="I65" s="5"/>
    </row>
    <row r="66" spans="1:9" s="14" customFormat="1">
      <c r="A66" s="237" t="s">
        <v>525</v>
      </c>
      <c r="B66" s="9"/>
      <c r="C66" s="36"/>
      <c r="D66" s="5"/>
      <c r="E66" s="5"/>
      <c r="F66" s="5"/>
      <c r="G66" s="5"/>
      <c r="H66" s="5"/>
      <c r="I66" s="5"/>
    </row>
    <row r="67" spans="1:9" s="14" customFormat="1">
      <c r="A67" s="33" t="s">
        <v>37</v>
      </c>
      <c r="B67" s="9">
        <v>100000</v>
      </c>
      <c r="C67" s="5"/>
      <c r="D67" s="5"/>
      <c r="E67" s="5"/>
      <c r="F67" s="5"/>
      <c r="G67" s="5"/>
      <c r="H67" s="5"/>
      <c r="I67" s="5"/>
    </row>
    <row r="68" spans="1:9" s="14" customFormat="1">
      <c r="A68" s="33" t="s">
        <v>38</v>
      </c>
      <c r="B68" s="9">
        <f>50000*0.3</f>
        <v>15000</v>
      </c>
      <c r="C68" s="5"/>
      <c r="D68" s="5"/>
      <c r="E68" s="5"/>
      <c r="F68" s="5"/>
      <c r="G68" s="35" t="s">
        <v>39</v>
      </c>
    </row>
    <row r="69" spans="1:9" s="14" customFormat="1">
      <c r="A69" s="108" t="s">
        <v>123</v>
      </c>
      <c r="B69" s="20">
        <f>-(50000-45000)*0.74*0.3</f>
        <v>-1110</v>
      </c>
      <c r="C69" s="106"/>
      <c r="D69" s="5"/>
      <c r="E69" s="5"/>
      <c r="F69" s="5"/>
      <c r="G69" s="35" t="s">
        <v>120</v>
      </c>
    </row>
    <row r="70" spans="1:9" s="14" customFormat="1">
      <c r="A70" s="33" t="s">
        <v>14</v>
      </c>
      <c r="B70" s="37">
        <f>SUM(B67:B69)</f>
        <v>113890</v>
      </c>
      <c r="C70" s="107"/>
      <c r="D70" s="5"/>
      <c r="E70" s="5"/>
      <c r="F70" s="5"/>
      <c r="G70" s="35"/>
    </row>
    <row r="71" spans="1:9" s="14" customFormat="1">
      <c r="A71" s="33"/>
      <c r="B71" s="37"/>
      <c r="C71" s="106"/>
      <c r="D71" s="5"/>
      <c r="E71" s="5"/>
      <c r="F71" s="5"/>
      <c r="G71" s="5"/>
    </row>
    <row r="72" spans="1:9" s="14" customFormat="1">
      <c r="A72" s="33" t="s">
        <v>40</v>
      </c>
      <c r="B72" s="9">
        <v>0</v>
      </c>
      <c r="G72" s="39" t="s">
        <v>41</v>
      </c>
    </row>
    <row r="73" spans="1:9" s="14" customFormat="1">
      <c r="A73" s="40" t="s">
        <v>129</v>
      </c>
      <c r="B73" s="109">
        <f>-(B70-B67)*0.2</f>
        <v>-2778</v>
      </c>
      <c r="G73" s="14" t="s">
        <v>130</v>
      </c>
    </row>
    <row r="74" spans="1:9" s="14" customFormat="1">
      <c r="A74" s="40" t="s">
        <v>42</v>
      </c>
      <c r="B74" s="41">
        <f>+B73-B72</f>
        <v>-2778</v>
      </c>
      <c r="G74" s="35"/>
    </row>
    <row r="75" spans="1:9" s="14" customFormat="1">
      <c r="A75" s="40"/>
      <c r="G75" s="35"/>
    </row>
    <row r="76" spans="1:9" s="14" customFormat="1" ht="25.5">
      <c r="A76" s="38" t="s">
        <v>131</v>
      </c>
      <c r="B76" s="37">
        <f>+B68+B69</f>
        <v>13890</v>
      </c>
      <c r="C76" s="5"/>
      <c r="D76" s="5"/>
      <c r="E76" s="5"/>
      <c r="F76" s="5"/>
      <c r="G76" s="35" t="s">
        <v>126</v>
      </c>
    </row>
    <row r="77" spans="1:9" s="14" customFormat="1">
      <c r="A77" s="33"/>
      <c r="B77" s="37"/>
      <c r="C77" s="5"/>
      <c r="D77" s="5"/>
      <c r="E77" s="5"/>
      <c r="F77" s="5"/>
      <c r="G77" s="5"/>
    </row>
    <row r="78" spans="1:9" s="14" customFormat="1">
      <c r="A78" s="11" t="s">
        <v>7</v>
      </c>
      <c r="B78" s="37"/>
      <c r="C78" s="5"/>
      <c r="D78" s="5"/>
      <c r="E78" s="5"/>
      <c r="F78" s="5"/>
      <c r="G78" s="5"/>
    </row>
    <row r="79" spans="1:9" s="14" customFormat="1">
      <c r="A79" s="34" t="s">
        <v>45</v>
      </c>
      <c r="B79" s="9"/>
      <c r="C79" s="5"/>
      <c r="D79" s="5"/>
      <c r="E79" s="5"/>
      <c r="F79" s="5"/>
      <c r="G79" s="5"/>
    </row>
    <row r="80" spans="1:9" s="14" customFormat="1">
      <c r="A80" s="44" t="s">
        <v>49</v>
      </c>
      <c r="B80" s="9"/>
      <c r="C80" s="43"/>
      <c r="D80" s="43"/>
      <c r="E80" s="43"/>
      <c r="F80" s="43"/>
      <c r="G80" s="43"/>
    </row>
    <row r="81" spans="1:7" s="14" customFormat="1">
      <c r="A81" s="44" t="s">
        <v>50</v>
      </c>
      <c r="B81" s="9">
        <v>28000</v>
      </c>
      <c r="C81" s="43"/>
      <c r="D81" s="43"/>
      <c r="E81" s="43"/>
      <c r="F81" s="43"/>
      <c r="G81" s="43"/>
    </row>
    <row r="82" spans="1:7" s="14" customFormat="1">
      <c r="A82" s="47" t="s">
        <v>51</v>
      </c>
      <c r="B82" s="20">
        <f>21000*0.857142857142857</f>
        <v>17999.999999999996</v>
      </c>
      <c r="C82" s="43"/>
      <c r="D82" s="43"/>
      <c r="E82" s="43"/>
      <c r="F82" s="43"/>
      <c r="G82" s="46" t="s">
        <v>53</v>
      </c>
    </row>
    <row r="83" spans="1:7" s="14" customFormat="1">
      <c r="A83" s="44" t="s">
        <v>26</v>
      </c>
      <c r="B83" s="9">
        <f>+B81-B82</f>
        <v>10000.000000000004</v>
      </c>
      <c r="C83" s="43"/>
      <c r="D83" s="43"/>
      <c r="E83" s="43"/>
      <c r="F83" s="43"/>
      <c r="G83" s="43"/>
    </row>
    <row r="84" spans="1:7" s="14" customFormat="1">
      <c r="A84" s="44" t="s">
        <v>52</v>
      </c>
      <c r="B84" s="9">
        <f>-B83*0.25</f>
        <v>-2500.0000000000009</v>
      </c>
      <c r="C84" s="43"/>
      <c r="D84" s="43"/>
      <c r="E84" s="43"/>
      <c r="F84" s="43"/>
      <c r="G84" s="16" t="s">
        <v>54</v>
      </c>
    </row>
    <row r="85" spans="1:7" s="14" customFormat="1">
      <c r="A85" s="44"/>
      <c r="B85" s="9"/>
      <c r="C85" s="43"/>
      <c r="D85" s="43"/>
      <c r="E85" s="43"/>
      <c r="F85" s="43"/>
      <c r="G85" s="43"/>
    </row>
    <row r="86" spans="1:7" s="14" customFormat="1">
      <c r="A86" s="44" t="s">
        <v>56</v>
      </c>
      <c r="B86" s="9">
        <v>7000</v>
      </c>
      <c r="C86" s="43"/>
      <c r="D86" s="43"/>
      <c r="E86" s="43"/>
      <c r="F86" s="43"/>
      <c r="G86" s="43"/>
    </row>
    <row r="87" spans="1:7" s="14" customFormat="1">
      <c r="A87" s="44" t="s">
        <v>55</v>
      </c>
      <c r="B87" s="9">
        <f>21000*0.714285714285714</f>
        <v>14999.999999999993</v>
      </c>
      <c r="C87" s="43"/>
      <c r="D87" s="43"/>
      <c r="E87" s="43"/>
      <c r="F87" s="43"/>
      <c r="G87" s="46" t="s">
        <v>57</v>
      </c>
    </row>
    <row r="88" spans="1:7" s="14" customFormat="1">
      <c r="A88" s="44" t="s">
        <v>69</v>
      </c>
      <c r="B88" s="9">
        <f>+B86-B87</f>
        <v>-7999.9999999999927</v>
      </c>
      <c r="C88" s="43"/>
      <c r="D88" s="43"/>
      <c r="E88" s="43"/>
      <c r="F88" s="43"/>
      <c r="G88" s="46" t="s">
        <v>70</v>
      </c>
    </row>
    <row r="89" spans="1:7" s="14" customFormat="1">
      <c r="A89" s="44"/>
      <c r="B89" s="9"/>
      <c r="C89" s="43"/>
      <c r="D89" s="43"/>
      <c r="E89" s="43"/>
      <c r="F89" s="43"/>
      <c r="G89" s="43"/>
    </row>
    <row r="90" spans="1:7" s="14" customFormat="1">
      <c r="A90" s="44" t="s">
        <v>46</v>
      </c>
      <c r="B90" s="9">
        <f>2500*0.833333333333333</f>
        <v>2083.3333333333326</v>
      </c>
      <c r="C90" s="43"/>
      <c r="D90" s="43"/>
      <c r="E90" s="43"/>
      <c r="F90" s="43"/>
      <c r="G90" s="46" t="s">
        <v>58</v>
      </c>
    </row>
    <row r="91" spans="1:7" s="14" customFormat="1">
      <c r="A91" s="44"/>
      <c r="B91" s="9"/>
      <c r="C91" s="43"/>
      <c r="D91" s="43"/>
      <c r="E91" s="43"/>
      <c r="F91" s="43"/>
      <c r="G91" s="45"/>
    </row>
    <row r="92" spans="1:7" s="14" customFormat="1">
      <c r="A92" s="44" t="s">
        <v>47</v>
      </c>
      <c r="B92" s="9">
        <v>416.66666666666669</v>
      </c>
      <c r="C92" s="43"/>
      <c r="D92" s="43"/>
      <c r="E92" s="43"/>
      <c r="F92" s="43"/>
      <c r="G92" s="46" t="s">
        <v>59</v>
      </c>
    </row>
    <row r="93" spans="1:7" s="14" customFormat="1">
      <c r="A93" s="47" t="s">
        <v>48</v>
      </c>
      <c r="B93" s="20">
        <f>(15000-7000)*(1/5*0.26+4/5*0.28)</f>
        <v>2208</v>
      </c>
      <c r="C93" s="43"/>
      <c r="D93" s="43"/>
      <c r="E93" s="43"/>
      <c r="F93" s="43"/>
      <c r="G93" s="46" t="s">
        <v>60</v>
      </c>
    </row>
    <row r="94" spans="1:7" s="14" customFormat="1">
      <c r="A94" s="44" t="s">
        <v>61</v>
      </c>
      <c r="B94" s="9">
        <f>+B93+B92</f>
        <v>2624.6666666666665</v>
      </c>
      <c r="C94" s="43"/>
      <c r="D94" s="43"/>
      <c r="E94" s="43"/>
      <c r="F94" s="43"/>
      <c r="G94" s="46"/>
    </row>
    <row r="95" spans="1:7" s="14" customFormat="1">
      <c r="A95" s="44"/>
      <c r="B95" s="9"/>
      <c r="C95" s="43"/>
      <c r="D95" s="43"/>
      <c r="E95" s="43"/>
      <c r="F95" s="43"/>
      <c r="G95" s="46"/>
    </row>
    <row r="96" spans="1:7" s="14" customFormat="1">
      <c r="A96" s="44" t="s">
        <v>62</v>
      </c>
      <c r="B96" s="9">
        <f>+B93</f>
        <v>2208</v>
      </c>
      <c r="C96" s="43"/>
      <c r="D96" s="43"/>
      <c r="E96" s="43"/>
      <c r="F96" s="43"/>
      <c r="G96" s="46" t="s">
        <v>60</v>
      </c>
    </row>
    <row r="97" spans="1:7" s="14" customFormat="1">
      <c r="A97" s="44" t="s">
        <v>63</v>
      </c>
      <c r="B97" s="43"/>
      <c r="C97" s="43"/>
      <c r="D97" s="43"/>
      <c r="E97" s="43"/>
      <c r="F97" s="43"/>
      <c r="G97" s="43"/>
    </row>
    <row r="98" spans="1:7" s="14" customFormat="1">
      <c r="A98" s="33"/>
      <c r="B98" s="37"/>
      <c r="C98" s="5"/>
      <c r="D98" s="5"/>
      <c r="E98" s="5"/>
      <c r="F98" s="5"/>
      <c r="G98" s="5"/>
    </row>
    <row r="99" spans="1:7" s="14" customFormat="1">
      <c r="A99" s="11" t="s">
        <v>8</v>
      </c>
      <c r="B99" s="37"/>
      <c r="C99" s="5"/>
      <c r="D99" s="5"/>
      <c r="E99" s="5"/>
      <c r="F99" s="5"/>
      <c r="G99" s="5"/>
    </row>
    <row r="100" spans="1:7" s="14" customFormat="1">
      <c r="A100" s="48" t="s">
        <v>75</v>
      </c>
      <c r="B100" s="26"/>
      <c r="C100" s="26"/>
      <c r="D100" s="26"/>
      <c r="E100" s="26"/>
      <c r="F100" s="26"/>
      <c r="G100" s="26"/>
    </row>
    <row r="101" spans="1:7" s="14" customFormat="1">
      <c r="A101" s="50" t="s">
        <v>76</v>
      </c>
      <c r="B101" s="31">
        <f>+-20000*0.2</f>
        <v>-4000</v>
      </c>
      <c r="C101" s="26"/>
      <c r="D101" s="26"/>
      <c r="E101" s="26"/>
      <c r="F101" s="26"/>
      <c r="G101" s="28" t="s">
        <v>78</v>
      </c>
    </row>
    <row r="102" spans="1:7" s="14" customFormat="1">
      <c r="A102" s="50" t="s">
        <v>77</v>
      </c>
      <c r="B102" s="31">
        <f>10000*0.2</f>
        <v>2000</v>
      </c>
      <c r="C102" s="26"/>
      <c r="D102" s="26"/>
      <c r="E102" s="26"/>
      <c r="F102" s="26"/>
      <c r="G102" s="28" t="s">
        <v>79</v>
      </c>
    </row>
    <row r="103" spans="1:7" s="14" customFormat="1">
      <c r="A103" s="50" t="s">
        <v>121</v>
      </c>
      <c r="B103" s="37"/>
      <c r="C103" s="5"/>
      <c r="D103" s="5"/>
      <c r="E103" s="5"/>
      <c r="F103" s="5"/>
      <c r="G103" s="5"/>
    </row>
    <row r="104" spans="1:7" s="14" customFormat="1">
      <c r="A104" s="50"/>
      <c r="B104" s="37"/>
      <c r="C104" s="5"/>
      <c r="D104" s="5"/>
      <c r="E104" s="5"/>
      <c r="F104" s="5"/>
      <c r="G104" s="5"/>
    </row>
    <row r="105" spans="1:7" s="14" customFormat="1">
      <c r="A105" s="11" t="s">
        <v>9</v>
      </c>
      <c r="B105" s="37"/>
      <c r="C105" s="5"/>
      <c r="D105" s="5"/>
      <c r="E105" s="5"/>
      <c r="F105" s="5"/>
      <c r="G105" s="5"/>
    </row>
    <row r="106" spans="1:7" s="14" customFormat="1">
      <c r="A106" s="22" t="s">
        <v>29</v>
      </c>
      <c r="B106" s="23"/>
      <c r="C106" s="23"/>
      <c r="D106" s="23"/>
      <c r="E106" s="23"/>
      <c r="F106" s="23"/>
      <c r="G106" s="23"/>
    </row>
    <row r="107" spans="1:7" s="14" customFormat="1">
      <c r="A107" s="24" t="s">
        <v>81</v>
      </c>
      <c r="B107" s="25">
        <f>+PV(0.03,4,2000,100000)</f>
        <v>-96282.901597189644</v>
      </c>
      <c r="C107" s="26"/>
      <c r="D107" s="26"/>
      <c r="E107" s="26"/>
      <c r="F107" s="26"/>
      <c r="G107" s="28" t="s">
        <v>82</v>
      </c>
    </row>
    <row r="108" spans="1:7" s="14" customFormat="1">
      <c r="A108" s="24" t="s">
        <v>30</v>
      </c>
      <c r="B108" s="25">
        <v>3000</v>
      </c>
      <c r="C108" s="26"/>
      <c r="D108" s="26"/>
      <c r="E108" s="26"/>
      <c r="F108" s="26"/>
      <c r="G108" s="26"/>
    </row>
    <row r="109" spans="1:7" s="14" customFormat="1">
      <c r="A109" s="24" t="s">
        <v>83</v>
      </c>
      <c r="B109" s="27">
        <f>+B107+B108</f>
        <v>-93282.901597189644</v>
      </c>
      <c r="C109" s="26"/>
      <c r="D109" s="26"/>
      <c r="E109" s="26"/>
      <c r="F109" s="26"/>
      <c r="G109" s="26"/>
    </row>
    <row r="110" spans="1:7" s="14" customFormat="1">
      <c r="A110" s="26"/>
      <c r="B110" s="26"/>
      <c r="C110" s="26"/>
      <c r="D110" s="26"/>
      <c r="E110" s="26"/>
      <c r="F110" s="26"/>
      <c r="G110" s="26"/>
    </row>
    <row r="111" spans="1:7" s="14" customFormat="1">
      <c r="A111" s="26" t="s">
        <v>80</v>
      </c>
      <c r="B111" s="51">
        <f>RATE(4,2000,-93283,100000)</f>
        <v>3.8436531087361739E-2</v>
      </c>
      <c r="C111" s="26"/>
      <c r="D111" s="26"/>
      <c r="E111" s="26"/>
      <c r="F111" s="26"/>
      <c r="G111" s="28" t="s">
        <v>84</v>
      </c>
    </row>
    <row r="112" spans="1:7" s="14" customFormat="1">
      <c r="A112" s="26"/>
      <c r="B112" s="26"/>
      <c r="C112" s="26"/>
      <c r="D112" s="26"/>
      <c r="E112" s="26"/>
      <c r="F112" s="26"/>
      <c r="G112" s="26"/>
    </row>
    <row r="113" spans="1:7" s="14" customFormat="1">
      <c r="A113" s="29" t="s">
        <v>85</v>
      </c>
      <c r="B113" s="25">
        <f>+PV(B111,3,2000,100000)</f>
        <v>-94868.474929418473</v>
      </c>
      <c r="C113" s="26"/>
      <c r="D113" s="26"/>
      <c r="E113" s="26"/>
      <c r="F113" s="26"/>
      <c r="G113" s="28" t="s">
        <v>89</v>
      </c>
    </row>
    <row r="114" spans="1:7" s="14" customFormat="1">
      <c r="A114" s="29" t="s">
        <v>86</v>
      </c>
      <c r="B114" s="25">
        <f>+PV(0.03,3,2000,100000)</f>
        <v>-97171.388645105326</v>
      </c>
      <c r="C114" s="26"/>
      <c r="D114" s="26"/>
      <c r="E114" s="26"/>
      <c r="F114" s="26"/>
      <c r="G114" s="28" t="s">
        <v>88</v>
      </c>
    </row>
    <row r="115" spans="1:7" s="14" customFormat="1">
      <c r="A115" s="26" t="s">
        <v>26</v>
      </c>
      <c r="B115" s="25">
        <f>+B113-B114</f>
        <v>2302.9137156868528</v>
      </c>
      <c r="C115" s="26"/>
      <c r="D115" s="26"/>
      <c r="E115" s="26"/>
      <c r="F115" s="26"/>
      <c r="G115" s="26"/>
    </row>
    <row r="116" spans="1:7" s="14" customFormat="1">
      <c r="A116" s="26"/>
      <c r="B116" s="25"/>
      <c r="C116" s="26"/>
      <c r="D116" s="26"/>
      <c r="E116" s="26"/>
      <c r="F116" s="26"/>
      <c r="G116" s="26"/>
    </row>
    <row r="117" spans="1:7" s="14" customFormat="1">
      <c r="A117" s="29" t="s">
        <v>91</v>
      </c>
      <c r="B117" s="25">
        <f>+PV(B111,2,2000,100000)</f>
        <v>-96514.890015253652</v>
      </c>
      <c r="C117" s="26"/>
      <c r="D117" s="26"/>
      <c r="E117" s="26"/>
      <c r="F117" s="26"/>
      <c r="G117" s="28" t="s">
        <v>87</v>
      </c>
    </row>
    <row r="118" spans="1:7" s="14" customFormat="1">
      <c r="A118" s="29" t="s">
        <v>92</v>
      </c>
      <c r="B118" s="25">
        <f>+PV(0.03,2,2000,100000)</f>
        <v>-98086.530304458487</v>
      </c>
      <c r="C118" s="26"/>
      <c r="D118" s="26"/>
      <c r="E118" s="26"/>
      <c r="F118" s="26"/>
      <c r="G118" s="28" t="s">
        <v>93</v>
      </c>
    </row>
    <row r="119" spans="1:7" s="14" customFormat="1">
      <c r="A119" s="29" t="s">
        <v>26</v>
      </c>
      <c r="B119" s="25">
        <f>+B117-B118</f>
        <v>1571.6402892048354</v>
      </c>
      <c r="C119" s="26"/>
      <c r="D119" s="26"/>
      <c r="E119" s="26"/>
      <c r="F119" s="26"/>
      <c r="G119" s="26"/>
    </row>
    <row r="120" spans="1:7" s="14" customFormat="1">
      <c r="A120" s="26"/>
      <c r="B120" s="25"/>
      <c r="C120" s="26"/>
      <c r="D120" s="26"/>
      <c r="E120" s="26"/>
      <c r="F120" s="26"/>
      <c r="G120" s="26"/>
    </row>
    <row r="121" spans="1:7" s="14" customFormat="1">
      <c r="A121" s="29" t="s">
        <v>94</v>
      </c>
      <c r="B121" s="25"/>
      <c r="C121" s="26"/>
      <c r="D121" s="26"/>
      <c r="E121" s="26"/>
      <c r="F121" s="26"/>
      <c r="G121" s="26"/>
    </row>
    <row r="122" spans="1:7" s="14" customFormat="1">
      <c r="A122" s="52" t="s">
        <v>90</v>
      </c>
      <c r="B122" s="25">
        <f>-(731*0.26+1572*0.28)</f>
        <v>-630.22</v>
      </c>
      <c r="C122" s="23"/>
      <c r="D122" s="23"/>
      <c r="E122" s="23"/>
      <c r="F122" s="23"/>
      <c r="G122" s="30" t="s">
        <v>95</v>
      </c>
    </row>
    <row r="123" spans="1:7" s="14" customFormat="1">
      <c r="A123" s="26"/>
      <c r="B123" s="25"/>
      <c r="C123" s="26"/>
      <c r="D123" s="26"/>
      <c r="E123" s="26"/>
      <c r="F123" s="26"/>
      <c r="G123" s="26"/>
    </row>
    <row r="124" spans="1:7" s="14" customFormat="1">
      <c r="A124" s="29" t="s">
        <v>96</v>
      </c>
      <c r="B124" s="25">
        <f>+B109*B111</f>
        <v>-3585.4711471596856</v>
      </c>
      <c r="C124" s="26"/>
      <c r="D124" s="26"/>
      <c r="E124" s="26"/>
      <c r="F124" s="26"/>
      <c r="G124" s="28" t="s">
        <v>98</v>
      </c>
    </row>
    <row r="125" spans="1:7" s="14" customFormat="1">
      <c r="A125" s="29" t="s">
        <v>97</v>
      </c>
      <c r="B125" s="25">
        <f>+B107*0.03</f>
        <v>-2888.4870479156893</v>
      </c>
      <c r="C125" s="26"/>
      <c r="D125" s="26"/>
      <c r="E125" s="26"/>
      <c r="F125" s="26"/>
      <c r="G125" s="28" t="s">
        <v>99</v>
      </c>
    </row>
    <row r="126" spans="1:7" s="14" customFormat="1">
      <c r="A126" s="26"/>
      <c r="B126" s="25"/>
      <c r="C126" s="26"/>
      <c r="D126" s="26"/>
      <c r="E126" s="26"/>
      <c r="F126" s="26"/>
      <c r="G126" s="26"/>
    </row>
    <row r="127" spans="1:7" s="14" customFormat="1">
      <c r="A127" s="11" t="s">
        <v>27</v>
      </c>
      <c r="B127" s="25"/>
      <c r="C127" s="26"/>
      <c r="D127" s="26"/>
      <c r="E127" s="26"/>
      <c r="F127" s="26"/>
      <c r="G127" s="49"/>
    </row>
    <row r="128" spans="1:7" s="14" customFormat="1">
      <c r="A128" s="53" t="s">
        <v>103</v>
      </c>
      <c r="B128" s="25"/>
      <c r="C128" s="26"/>
      <c r="D128" s="26"/>
      <c r="E128" s="26"/>
      <c r="F128" s="26"/>
      <c r="G128" s="49"/>
    </row>
    <row r="129" spans="1:7" s="14" customFormat="1">
      <c r="A129" s="29" t="s">
        <v>107</v>
      </c>
      <c r="B129" s="25">
        <v>0</v>
      </c>
      <c r="C129" s="26"/>
      <c r="D129" s="26"/>
      <c r="E129" s="26"/>
      <c r="F129" s="26"/>
      <c r="G129" s="49"/>
    </row>
    <row r="130" spans="1:7" s="14" customFormat="1">
      <c r="A130" s="29" t="s">
        <v>104</v>
      </c>
      <c r="B130" s="27">
        <f>1666.66666666667*0.26+5000*0.666666666666667*0.28</f>
        <v>1366.6666666666681</v>
      </c>
      <c r="C130" s="26"/>
      <c r="D130" s="26"/>
      <c r="E130" s="26"/>
      <c r="F130" s="26"/>
      <c r="G130" s="28" t="s">
        <v>105</v>
      </c>
    </row>
    <row r="131" spans="1:7" s="14" customFormat="1">
      <c r="A131" s="29" t="s">
        <v>106</v>
      </c>
      <c r="B131" s="26"/>
      <c r="C131" s="26"/>
      <c r="D131" s="26"/>
      <c r="E131" s="26"/>
      <c r="F131" s="26"/>
      <c r="G131" s="26"/>
    </row>
    <row r="132" spans="1:7">
      <c r="A132" s="54"/>
      <c r="B132" s="18"/>
      <c r="C132" s="18"/>
      <c r="D132" s="18"/>
      <c r="E132" s="18"/>
      <c r="F132" s="18"/>
      <c r="G132" s="18"/>
    </row>
    <row r="133" spans="1:7">
      <c r="A133" s="55"/>
      <c r="B133" s="17"/>
      <c r="C133" s="17"/>
      <c r="D133" s="17"/>
      <c r="E133" s="17"/>
      <c r="F133" s="17"/>
      <c r="G133" s="17"/>
    </row>
    <row r="134" spans="1:7">
      <c r="A134" s="17"/>
      <c r="B134" s="56"/>
      <c r="C134" s="17"/>
      <c r="D134" s="17"/>
      <c r="E134" s="17"/>
      <c r="F134" s="17"/>
      <c r="G134" s="57"/>
    </row>
    <row r="135" spans="1:7">
      <c r="A135" s="17"/>
      <c r="B135" s="56"/>
      <c r="C135" s="17"/>
      <c r="D135" s="17"/>
      <c r="E135" s="17"/>
      <c r="F135" s="17"/>
      <c r="G135" s="57"/>
    </row>
    <row r="136" spans="1:7">
      <c r="A136" s="17"/>
      <c r="B136" s="56"/>
      <c r="C136" s="17"/>
      <c r="D136" s="17"/>
      <c r="E136" s="17"/>
      <c r="F136" s="17"/>
      <c r="G136" s="17"/>
    </row>
    <row r="137" spans="1:7">
      <c r="A137" s="17"/>
      <c r="B137" s="56"/>
      <c r="C137" s="17"/>
      <c r="D137" s="17"/>
      <c r="E137" s="17"/>
      <c r="F137" s="17"/>
      <c r="G137" s="57"/>
    </row>
    <row r="138" spans="1:7">
      <c r="A138" s="17"/>
      <c r="B138" s="56"/>
      <c r="C138" s="17"/>
      <c r="D138" s="17"/>
      <c r="E138" s="17"/>
      <c r="F138" s="17"/>
      <c r="G138" s="57"/>
    </row>
    <row r="139" spans="1:7">
      <c r="A139" s="17"/>
      <c r="B139" s="56"/>
      <c r="C139" s="17"/>
      <c r="D139" s="17"/>
      <c r="E139" s="17"/>
      <c r="F139" s="17"/>
      <c r="G139" s="57"/>
    </row>
    <row r="140" spans="1:7">
      <c r="A140" s="17"/>
      <c r="B140" s="56"/>
      <c r="C140" s="17"/>
      <c r="D140" s="17"/>
      <c r="E140" s="17"/>
      <c r="F140" s="17"/>
      <c r="G140" s="57"/>
    </row>
    <row r="141" spans="1:7">
      <c r="A141" s="17"/>
      <c r="B141" s="56"/>
      <c r="C141" s="17"/>
      <c r="D141" s="17"/>
      <c r="E141" s="17"/>
      <c r="F141" s="17"/>
      <c r="G141" s="57"/>
    </row>
    <row r="142" spans="1:7">
      <c r="A142" s="17"/>
      <c r="B142" s="56"/>
      <c r="C142" s="17"/>
      <c r="D142" s="17"/>
      <c r="E142" s="17"/>
      <c r="F142" s="17"/>
      <c r="G142" s="57"/>
    </row>
    <row r="143" spans="1:7">
      <c r="A143" s="17"/>
      <c r="B143" s="56"/>
      <c r="C143" s="17"/>
      <c r="D143" s="17"/>
      <c r="E143" s="17"/>
      <c r="F143" s="17"/>
      <c r="G143" s="57"/>
    </row>
    <row r="144" spans="1:7">
      <c r="A144" s="17"/>
      <c r="B144" s="56"/>
      <c r="C144" s="17"/>
      <c r="D144" s="17"/>
      <c r="E144" s="17"/>
      <c r="F144" s="17"/>
      <c r="G144" s="57"/>
    </row>
    <row r="145" spans="1:9">
      <c r="A145" s="17"/>
      <c r="B145" s="58"/>
      <c r="C145" s="17"/>
      <c r="D145" s="17"/>
      <c r="E145" s="17"/>
      <c r="F145" s="17"/>
      <c r="G145" s="17"/>
    </row>
    <row r="146" spans="1:9">
      <c r="A146" s="17"/>
      <c r="B146" s="56"/>
      <c r="C146" s="17"/>
      <c r="D146" s="17"/>
      <c r="E146" s="17"/>
      <c r="F146" s="17"/>
      <c r="G146" s="17"/>
    </row>
    <row r="147" spans="1:9">
      <c r="A147" s="17"/>
      <c r="B147" s="56"/>
      <c r="C147" s="17"/>
      <c r="D147" s="17"/>
      <c r="E147" s="17"/>
      <c r="F147" s="17"/>
      <c r="G147" s="17"/>
    </row>
    <row r="148" spans="1:9">
      <c r="A148" s="17"/>
      <c r="B148" s="56"/>
      <c r="C148" s="17"/>
      <c r="D148" s="17"/>
      <c r="E148" s="17"/>
      <c r="F148" s="17"/>
      <c r="G148" s="57"/>
    </row>
    <row r="149" spans="1:9">
      <c r="A149" s="17"/>
      <c r="B149" s="58"/>
      <c r="C149" s="17"/>
      <c r="D149" s="17"/>
      <c r="E149" s="17"/>
      <c r="F149" s="17"/>
      <c r="G149" s="17"/>
    </row>
    <row r="150" spans="1:9">
      <c r="A150" s="17"/>
      <c r="B150" s="58"/>
      <c r="C150" s="17"/>
      <c r="D150" s="17"/>
      <c r="E150" s="17"/>
      <c r="F150" s="17"/>
      <c r="G150" s="17"/>
    </row>
    <row r="151" spans="1:9">
      <c r="A151" s="59"/>
      <c r="B151" s="60"/>
      <c r="C151" s="61"/>
      <c r="D151" s="61"/>
      <c r="E151" s="61"/>
      <c r="F151" s="61"/>
      <c r="G151" s="62"/>
    </row>
    <row r="152" spans="1:9">
      <c r="A152" s="63"/>
      <c r="B152" s="64"/>
      <c r="C152" s="64"/>
      <c r="D152" s="64"/>
      <c r="E152" s="64"/>
      <c r="F152" s="64"/>
      <c r="G152" s="64"/>
      <c r="H152" s="9"/>
    </row>
    <row r="153" spans="1:9">
      <c r="A153" s="65"/>
      <c r="B153" s="56"/>
      <c r="C153" s="64"/>
      <c r="D153" s="64"/>
      <c r="E153" s="64"/>
      <c r="F153" s="64"/>
      <c r="G153" s="66"/>
      <c r="H153" s="3"/>
    </row>
    <row r="154" spans="1:9">
      <c r="A154" s="67"/>
      <c r="B154" s="56"/>
      <c r="C154" s="64"/>
      <c r="D154" s="64"/>
      <c r="E154" s="68"/>
      <c r="F154" s="64"/>
      <c r="G154" s="64"/>
    </row>
    <row r="155" spans="1:9">
      <c r="A155" s="67"/>
      <c r="B155" s="56"/>
      <c r="C155" s="64"/>
      <c r="D155" s="64"/>
      <c r="E155" s="64"/>
      <c r="F155" s="64"/>
      <c r="G155" s="64"/>
      <c r="I155" s="32"/>
    </row>
    <row r="156" spans="1:9">
      <c r="A156" s="63"/>
      <c r="B156" s="64"/>
      <c r="C156" s="64"/>
      <c r="D156" s="64"/>
      <c r="E156" s="64"/>
      <c r="F156" s="69"/>
      <c r="G156" s="64"/>
    </row>
    <row r="157" spans="1:9">
      <c r="A157" s="70"/>
      <c r="B157" s="69"/>
      <c r="C157" s="64"/>
      <c r="D157" s="64"/>
      <c r="E157" s="69"/>
      <c r="F157" s="64"/>
      <c r="G157" s="17"/>
    </row>
    <row r="158" spans="1:9">
      <c r="A158" s="70"/>
      <c r="B158" s="69"/>
      <c r="C158" s="64"/>
      <c r="D158" s="64"/>
      <c r="E158" s="69"/>
      <c r="F158" s="64"/>
      <c r="G158" s="17"/>
      <c r="I158" s="9"/>
    </row>
    <row r="159" spans="1:9">
      <c r="A159" s="70"/>
      <c r="B159" s="71"/>
      <c r="C159" s="72"/>
      <c r="D159" s="73"/>
      <c r="E159" s="73"/>
      <c r="F159" s="73"/>
      <c r="G159" s="74"/>
      <c r="I159" s="3"/>
    </row>
    <row r="160" spans="1:9">
      <c r="A160" s="70"/>
      <c r="B160" s="71"/>
      <c r="C160" s="73"/>
      <c r="D160" s="73"/>
      <c r="E160" s="73"/>
      <c r="F160" s="73"/>
      <c r="G160" s="74"/>
      <c r="I160" s="3"/>
    </row>
    <row r="161" spans="1:9">
      <c r="A161" s="70"/>
      <c r="B161" s="71"/>
      <c r="C161" s="73"/>
      <c r="D161" s="73"/>
      <c r="E161" s="73"/>
      <c r="F161" s="73"/>
      <c r="G161" s="74"/>
      <c r="I161" s="3"/>
    </row>
    <row r="162" spans="1:9">
      <c r="A162" s="17"/>
      <c r="B162" s="69"/>
      <c r="C162" s="64"/>
      <c r="D162" s="64"/>
      <c r="E162" s="69"/>
      <c r="F162" s="64"/>
      <c r="G162" s="17"/>
    </row>
    <row r="163" spans="1:9">
      <c r="A163" s="63"/>
      <c r="B163" s="75"/>
      <c r="C163" s="64"/>
      <c r="D163" s="64"/>
      <c r="E163" s="64"/>
      <c r="F163" s="64"/>
      <c r="G163" s="64"/>
    </row>
    <row r="164" spans="1:9">
      <c r="A164" s="70"/>
      <c r="B164" s="76"/>
      <c r="C164" s="73"/>
      <c r="D164" s="73"/>
      <c r="E164" s="73"/>
      <c r="F164" s="73"/>
      <c r="G164" s="77"/>
    </row>
    <row r="165" spans="1:9">
      <c r="A165" s="70"/>
      <c r="B165" s="76"/>
      <c r="C165" s="73"/>
      <c r="D165" s="73"/>
      <c r="E165" s="73"/>
      <c r="F165" s="73"/>
      <c r="G165" s="77"/>
    </row>
    <row r="166" spans="1:9">
      <c r="A166" s="73"/>
      <c r="B166" s="76"/>
      <c r="C166" s="73"/>
      <c r="D166" s="73"/>
      <c r="E166" s="73"/>
      <c r="F166" s="73"/>
      <c r="G166" s="73"/>
    </row>
    <row r="167" spans="1:9">
      <c r="A167" s="73"/>
      <c r="B167" s="76"/>
      <c r="C167" s="73"/>
      <c r="D167" s="73"/>
      <c r="E167" s="73"/>
      <c r="F167" s="73"/>
      <c r="G167" s="73"/>
    </row>
    <row r="168" spans="1:9">
      <c r="A168" s="70"/>
      <c r="B168" s="76"/>
      <c r="C168" s="73"/>
      <c r="D168" s="73"/>
      <c r="E168" s="73"/>
      <c r="F168" s="73"/>
      <c r="G168" s="73"/>
    </row>
    <row r="169" spans="1:9">
      <c r="A169" s="59"/>
      <c r="B169" s="78"/>
      <c r="C169" s="64"/>
      <c r="D169" s="64"/>
      <c r="E169" s="64"/>
      <c r="F169" s="64"/>
      <c r="G169" s="79"/>
    </row>
    <row r="170" spans="1:9">
      <c r="A170" s="70"/>
      <c r="B170" s="73"/>
      <c r="C170" s="73"/>
      <c r="D170" s="73"/>
      <c r="E170" s="73"/>
      <c r="F170" s="73"/>
      <c r="G170" s="73"/>
    </row>
    <row r="171" spans="1:9">
      <c r="A171" s="70"/>
      <c r="B171" s="76"/>
      <c r="C171" s="73"/>
      <c r="D171" s="73"/>
      <c r="E171" s="73"/>
      <c r="F171" s="73"/>
      <c r="G171" s="77"/>
    </row>
    <row r="172" spans="1:9">
      <c r="A172" s="70"/>
      <c r="B172" s="76"/>
      <c r="C172" s="73"/>
      <c r="D172" s="73"/>
      <c r="E172" s="73"/>
      <c r="F172" s="73"/>
      <c r="G172" s="77"/>
    </row>
    <row r="173" spans="1:9">
      <c r="A173" s="73"/>
      <c r="B173" s="80"/>
      <c r="C173" s="80"/>
      <c r="D173" s="73"/>
      <c r="E173" s="73"/>
      <c r="F173" s="73"/>
      <c r="G173" s="73"/>
    </row>
    <row r="174" spans="1:9">
      <c r="A174" s="80"/>
      <c r="B174" s="80"/>
      <c r="C174" s="80"/>
      <c r="D174" s="73"/>
      <c r="E174" s="73"/>
      <c r="F174" s="73"/>
      <c r="G174" s="73"/>
    </row>
    <row r="175" spans="1:9">
      <c r="A175" s="70"/>
      <c r="B175" s="73"/>
      <c r="C175" s="73"/>
      <c r="D175" s="73"/>
      <c r="E175" s="73"/>
      <c r="F175" s="73"/>
      <c r="G175" s="73"/>
    </row>
    <row r="176" spans="1:9">
      <c r="A176" s="81"/>
      <c r="B176" s="78"/>
      <c r="C176" s="73"/>
      <c r="D176" s="73"/>
      <c r="E176" s="73"/>
      <c r="F176" s="73"/>
      <c r="G176" s="74"/>
    </row>
    <row r="177" spans="1:7">
      <c r="A177" s="17"/>
      <c r="B177" s="17"/>
      <c r="C177" s="17"/>
      <c r="D177" s="17"/>
      <c r="E177" s="17"/>
      <c r="F177" s="17"/>
      <c r="G177" s="17"/>
    </row>
    <row r="178" spans="1:7" s="7" customFormat="1">
      <c r="A178" s="82"/>
      <c r="B178" s="83"/>
      <c r="C178" s="83"/>
      <c r="D178" s="83"/>
      <c r="E178" s="83"/>
      <c r="F178" s="83"/>
      <c r="G178" s="83"/>
    </row>
    <row r="179" spans="1:7" s="7" customFormat="1">
      <c r="A179" s="84"/>
      <c r="B179" s="83"/>
      <c r="C179" s="83"/>
      <c r="D179" s="83"/>
      <c r="E179" s="83"/>
      <c r="F179" s="83"/>
      <c r="G179" s="83"/>
    </row>
    <row r="180" spans="1:7" s="7" customFormat="1">
      <c r="A180" s="82"/>
      <c r="B180" s="83"/>
      <c r="C180" s="83"/>
      <c r="D180" s="83"/>
      <c r="E180" s="83"/>
      <c r="F180" s="83"/>
      <c r="G180" s="83"/>
    </row>
    <row r="181" spans="1:7" s="7" customFormat="1">
      <c r="A181" s="85"/>
      <c r="B181" s="76"/>
      <c r="C181" s="83"/>
      <c r="D181" s="83"/>
      <c r="E181" s="83"/>
      <c r="F181" s="83"/>
      <c r="G181" s="83"/>
    </row>
    <row r="182" spans="1:7" s="7" customFormat="1">
      <c r="A182" s="85"/>
      <c r="B182" s="76"/>
      <c r="C182" s="83"/>
      <c r="D182" s="83"/>
      <c r="E182" s="83"/>
      <c r="F182" s="83"/>
      <c r="G182" s="86"/>
    </row>
    <row r="183" spans="1:7" s="7" customFormat="1">
      <c r="A183" s="85"/>
      <c r="B183" s="76"/>
      <c r="C183" s="83"/>
      <c r="D183" s="83"/>
      <c r="E183" s="83"/>
      <c r="F183" s="83"/>
      <c r="G183" s="83"/>
    </row>
    <row r="184" spans="1:7" s="7" customFormat="1">
      <c r="A184" s="82"/>
      <c r="B184" s="78"/>
      <c r="C184" s="83"/>
      <c r="D184" s="83"/>
      <c r="E184" s="83"/>
      <c r="F184" s="83"/>
      <c r="G184" s="87"/>
    </row>
    <row r="185" spans="1:7" s="7" customFormat="1">
      <c r="A185" s="82"/>
      <c r="B185" s="78"/>
      <c r="C185" s="83"/>
      <c r="D185" s="83"/>
      <c r="E185" s="83"/>
      <c r="F185" s="83"/>
      <c r="G185" s="87"/>
    </row>
    <row r="186" spans="1:7" s="7" customFormat="1">
      <c r="A186" s="85"/>
      <c r="B186" s="76"/>
      <c r="C186" s="83"/>
      <c r="D186" s="83"/>
      <c r="E186" s="83"/>
      <c r="F186" s="83"/>
      <c r="G186" s="87"/>
    </row>
    <row r="187" spans="1:7" s="7" customFormat="1">
      <c r="A187" s="85"/>
      <c r="B187" s="76"/>
      <c r="C187" s="83"/>
      <c r="D187" s="83"/>
      <c r="E187" s="83"/>
      <c r="F187" s="83"/>
      <c r="G187" s="86"/>
    </row>
    <row r="188" spans="1:7" s="7" customFormat="1">
      <c r="A188" s="85"/>
      <c r="B188" s="76"/>
      <c r="C188" s="83"/>
      <c r="D188" s="83"/>
      <c r="E188" s="83"/>
      <c r="F188" s="83"/>
      <c r="G188" s="86"/>
    </row>
    <row r="189" spans="1:7" s="7" customFormat="1">
      <c r="A189" s="82"/>
      <c r="B189" s="76"/>
      <c r="C189" s="83"/>
      <c r="D189" s="83"/>
      <c r="E189" s="83"/>
      <c r="F189" s="83"/>
      <c r="G189" s="83"/>
    </row>
    <row r="190" spans="1:7" s="7" customFormat="1">
      <c r="A190" s="82"/>
      <c r="B190" s="76"/>
      <c r="C190" s="83"/>
      <c r="D190" s="83"/>
      <c r="E190" s="83"/>
      <c r="F190" s="83"/>
      <c r="G190" s="87"/>
    </row>
    <row r="191" spans="1:7" s="7" customFormat="1">
      <c r="A191" s="82"/>
      <c r="B191" s="76"/>
      <c r="C191" s="83"/>
      <c r="D191" s="83"/>
      <c r="E191" s="83"/>
      <c r="F191" s="83"/>
      <c r="G191" s="83"/>
    </row>
    <row r="192" spans="1:7" s="7" customFormat="1">
      <c r="A192" s="82"/>
      <c r="B192" s="76"/>
      <c r="C192" s="83"/>
      <c r="D192" s="83"/>
      <c r="E192" s="83"/>
      <c r="F192" s="83"/>
      <c r="G192" s="87"/>
    </row>
    <row r="193" spans="1:7" s="7" customFormat="1">
      <c r="A193" s="82"/>
      <c r="B193" s="76"/>
      <c r="C193" s="83"/>
      <c r="D193" s="83"/>
      <c r="E193" s="83"/>
      <c r="F193" s="83"/>
      <c r="G193" s="88"/>
    </row>
    <row r="194" spans="1:7" s="7" customFormat="1">
      <c r="A194" s="82"/>
      <c r="B194" s="76"/>
      <c r="C194" s="83"/>
      <c r="D194" s="83"/>
      <c r="E194" s="83"/>
      <c r="F194" s="83"/>
      <c r="G194" s="87"/>
    </row>
    <row r="195" spans="1:7" s="7" customFormat="1">
      <c r="A195" s="82"/>
      <c r="B195" s="76"/>
      <c r="C195" s="83"/>
      <c r="D195" s="83"/>
      <c r="E195" s="83"/>
      <c r="F195" s="83"/>
      <c r="G195" s="86"/>
    </row>
    <row r="196" spans="1:7" s="7" customFormat="1">
      <c r="A196" s="82"/>
      <c r="B196" s="76"/>
      <c r="C196" s="83"/>
      <c r="D196" s="83"/>
      <c r="E196" s="83"/>
      <c r="F196" s="83"/>
      <c r="G196" s="86"/>
    </row>
    <row r="197" spans="1:7" s="7" customFormat="1">
      <c r="A197" s="82"/>
      <c r="B197" s="89"/>
      <c r="C197" s="83"/>
      <c r="D197" s="83"/>
      <c r="E197" s="83"/>
      <c r="F197" s="83"/>
      <c r="G197" s="86"/>
    </row>
    <row r="198" spans="1:7" s="7" customFormat="1">
      <c r="A198" s="82"/>
      <c r="B198" s="76"/>
      <c r="C198" s="83"/>
      <c r="D198" s="83"/>
      <c r="E198" s="83"/>
      <c r="F198" s="83"/>
      <c r="G198" s="86"/>
    </row>
    <row r="199" spans="1:7" s="7" customFormat="1">
      <c r="A199" s="85"/>
      <c r="B199" s="83"/>
      <c r="C199" s="83"/>
      <c r="D199" s="83"/>
      <c r="E199" s="83"/>
      <c r="F199" s="83"/>
      <c r="G199" s="83"/>
    </row>
    <row r="200" spans="1:7" s="7" customFormat="1">
      <c r="A200" s="85"/>
      <c r="B200" s="83"/>
      <c r="C200" s="83"/>
      <c r="D200" s="83"/>
      <c r="E200" s="83"/>
      <c r="F200" s="83"/>
      <c r="G200" s="83"/>
    </row>
    <row r="201" spans="1:7" s="7" customFormat="1">
      <c r="A201" s="85"/>
      <c r="B201" s="76"/>
      <c r="C201" s="83"/>
      <c r="D201" s="83"/>
      <c r="E201" s="83"/>
      <c r="F201" s="83"/>
      <c r="G201" s="87"/>
    </row>
    <row r="202" spans="1:7" s="7" customFormat="1">
      <c r="A202" s="85"/>
      <c r="B202" s="76"/>
      <c r="C202" s="83"/>
      <c r="D202" s="83"/>
      <c r="E202" s="83"/>
      <c r="F202" s="83"/>
      <c r="G202" s="86"/>
    </row>
    <row r="203" spans="1:7" s="7" customFormat="1">
      <c r="A203" s="82"/>
      <c r="B203" s="18"/>
      <c r="C203" s="18"/>
      <c r="D203" s="18"/>
      <c r="E203" s="18"/>
      <c r="F203" s="18"/>
      <c r="G203" s="18"/>
    </row>
    <row r="204" spans="1:7">
      <c r="A204" s="84"/>
      <c r="B204" s="17"/>
      <c r="C204" s="17"/>
      <c r="D204" s="17"/>
      <c r="E204" s="90"/>
      <c r="F204" s="90"/>
      <c r="G204" s="17"/>
    </row>
    <row r="205" spans="1:7">
      <c r="A205" s="91"/>
      <c r="B205" s="17"/>
      <c r="C205" s="17"/>
      <c r="D205" s="17"/>
      <c r="E205" s="17"/>
      <c r="F205" s="90"/>
      <c r="G205" s="17"/>
    </row>
    <row r="206" spans="1:7">
      <c r="A206" s="17"/>
      <c r="B206" s="17"/>
      <c r="C206" s="92"/>
      <c r="D206" s="17"/>
      <c r="E206" s="17"/>
      <c r="F206" s="17"/>
      <c r="G206" s="17"/>
    </row>
    <row r="207" spans="1:7">
      <c r="A207" s="17"/>
      <c r="B207" s="17"/>
      <c r="C207" s="92"/>
      <c r="D207" s="17"/>
      <c r="E207" s="17"/>
      <c r="F207" s="17"/>
      <c r="G207" s="57"/>
    </row>
    <row r="208" spans="1:7" s="7" customFormat="1">
      <c r="A208" s="17"/>
      <c r="B208" s="17"/>
      <c r="C208" s="92"/>
      <c r="D208" s="18"/>
      <c r="E208" s="18"/>
      <c r="F208" s="17"/>
      <c r="G208" s="18"/>
    </row>
    <row r="209" spans="1:7" s="7" customFormat="1">
      <c r="A209" s="17"/>
      <c r="B209" s="17"/>
      <c r="C209" s="93"/>
      <c r="D209" s="18"/>
      <c r="E209" s="18"/>
      <c r="F209" s="17"/>
      <c r="G209" s="18"/>
    </row>
    <row r="210" spans="1:7" s="7" customFormat="1">
      <c r="A210" s="17"/>
      <c r="B210" s="17"/>
      <c r="C210" s="92"/>
      <c r="D210" s="18"/>
      <c r="E210" s="18"/>
      <c r="F210" s="17"/>
      <c r="G210" s="18"/>
    </row>
    <row r="211" spans="1:7" s="7" customFormat="1">
      <c r="A211" s="87"/>
      <c r="B211" s="94"/>
      <c r="C211" s="83"/>
      <c r="D211" s="83"/>
      <c r="E211" s="83"/>
      <c r="F211" s="83"/>
      <c r="G211" s="83"/>
    </row>
    <row r="212" spans="1:7" s="7" customFormat="1">
      <c r="A212" s="91"/>
      <c r="B212" s="94"/>
      <c r="C212" s="18"/>
      <c r="D212" s="90"/>
      <c r="E212" s="83"/>
      <c r="F212" s="83"/>
      <c r="G212" s="83"/>
    </row>
    <row r="213" spans="1:7">
      <c r="A213" s="17"/>
      <c r="B213" s="17"/>
      <c r="C213" s="92"/>
      <c r="D213" s="90"/>
      <c r="E213" s="17"/>
      <c r="F213" s="17"/>
      <c r="G213" s="17"/>
    </row>
    <row r="214" spans="1:7">
      <c r="A214" s="17"/>
      <c r="B214" s="17"/>
      <c r="C214" s="92"/>
      <c r="D214" s="17"/>
      <c r="E214" s="17"/>
      <c r="F214" s="90"/>
      <c r="G214" s="57"/>
    </row>
    <row r="215" spans="1:7">
      <c r="A215" s="17"/>
      <c r="B215" s="17"/>
      <c r="C215" s="92"/>
      <c r="D215" s="90"/>
      <c r="E215" s="17"/>
      <c r="F215" s="17"/>
      <c r="G215" s="17"/>
    </row>
    <row r="216" spans="1:7">
      <c r="A216" s="17"/>
      <c r="B216" s="17"/>
      <c r="C216" s="92"/>
      <c r="D216" s="90"/>
      <c r="E216" s="17"/>
      <c r="F216" s="17"/>
      <c r="G216" s="17"/>
    </row>
    <row r="217" spans="1:7">
      <c r="A217" s="17"/>
      <c r="B217" s="17"/>
      <c r="C217" s="92"/>
      <c r="D217" s="90"/>
      <c r="E217" s="17"/>
      <c r="F217" s="17"/>
      <c r="G217" s="17"/>
    </row>
    <row r="218" spans="1:7">
      <c r="A218" s="90"/>
      <c r="B218" s="17"/>
      <c r="C218" s="92"/>
      <c r="D218" s="17"/>
      <c r="E218" s="17"/>
      <c r="F218" s="17"/>
      <c r="G218" s="17"/>
    </row>
    <row r="219" spans="1:7">
      <c r="A219" s="90"/>
      <c r="B219" s="17"/>
      <c r="C219" s="92"/>
      <c r="D219" s="17"/>
      <c r="E219" s="17"/>
      <c r="F219" s="17"/>
      <c r="G219" s="57"/>
    </row>
    <row r="220" spans="1:7">
      <c r="A220" s="17"/>
      <c r="B220" s="17"/>
      <c r="C220" s="92"/>
      <c r="D220" s="17"/>
      <c r="E220" s="17"/>
      <c r="F220" s="17"/>
      <c r="G220" s="17"/>
    </row>
    <row r="221" spans="1:7">
      <c r="A221" s="17"/>
      <c r="B221" s="17"/>
      <c r="C221" s="92"/>
      <c r="D221" s="17"/>
      <c r="E221" s="17"/>
      <c r="F221" s="17"/>
      <c r="G221" s="57"/>
    </row>
    <row r="222" spans="1:7">
      <c r="A222" s="17"/>
      <c r="B222" s="17"/>
      <c r="C222" s="92"/>
      <c r="D222" s="17"/>
      <c r="E222" s="17"/>
      <c r="F222" s="17"/>
      <c r="G222" s="17"/>
    </row>
    <row r="223" spans="1:7">
      <c r="A223" s="17"/>
      <c r="B223" s="17"/>
      <c r="C223" s="92"/>
      <c r="D223" s="17"/>
      <c r="E223" s="17"/>
      <c r="F223" s="17"/>
      <c r="G223" s="17"/>
    </row>
    <row r="224" spans="1:7">
      <c r="A224" s="95"/>
      <c r="B224" s="18"/>
      <c r="C224" s="18"/>
      <c r="D224" s="18"/>
      <c r="E224" s="18"/>
      <c r="F224" s="18"/>
      <c r="G224" s="18"/>
    </row>
    <row r="225" spans="1:7">
      <c r="A225" s="18"/>
      <c r="B225" s="96"/>
      <c r="C225" s="18"/>
      <c r="D225" s="18"/>
      <c r="E225" s="18"/>
      <c r="F225" s="18"/>
      <c r="G225" s="97"/>
    </row>
    <row r="226" spans="1:7">
      <c r="A226" s="17"/>
      <c r="B226" s="98"/>
      <c r="C226" s="18"/>
      <c r="D226" s="18"/>
      <c r="E226" s="18"/>
      <c r="F226" s="18"/>
      <c r="G226" s="97"/>
    </row>
    <row r="227" spans="1:7">
      <c r="A227" s="99"/>
      <c r="B227" s="98"/>
      <c r="C227" s="18"/>
      <c r="D227" s="18"/>
      <c r="E227" s="18"/>
      <c r="F227" s="18"/>
      <c r="G227" s="97"/>
    </row>
    <row r="228" spans="1:7">
      <c r="A228" s="100"/>
      <c r="B228" s="56"/>
      <c r="C228" s="18"/>
      <c r="D228" s="18"/>
      <c r="E228" s="18"/>
      <c r="F228" s="18"/>
      <c r="G228" s="97"/>
    </row>
    <row r="229" spans="1:7">
      <c r="A229" s="100"/>
      <c r="B229" s="56"/>
      <c r="C229" s="18"/>
      <c r="D229" s="18"/>
      <c r="E229" s="18"/>
      <c r="F229" s="18"/>
      <c r="G229" s="97"/>
    </row>
    <row r="230" spans="1:7">
      <c r="A230" s="100"/>
      <c r="B230" s="56"/>
      <c r="C230" s="18"/>
      <c r="D230" s="18"/>
      <c r="E230" s="18"/>
      <c r="F230" s="18"/>
      <c r="G230" s="97"/>
    </row>
    <row r="231" spans="1:7">
      <c r="A231" s="100"/>
      <c r="B231" s="56"/>
      <c r="C231" s="18"/>
      <c r="D231" s="18"/>
      <c r="E231" s="18"/>
      <c r="F231" s="18"/>
      <c r="G231" s="97"/>
    </row>
    <row r="232" spans="1:7">
      <c r="A232" s="101"/>
      <c r="B232" s="56"/>
      <c r="C232" s="18"/>
      <c r="D232" s="18"/>
      <c r="E232" s="18"/>
      <c r="F232" s="18"/>
      <c r="G232" s="18"/>
    </row>
    <row r="233" spans="1:7">
      <c r="A233" s="101"/>
      <c r="B233" s="56"/>
      <c r="C233" s="18"/>
      <c r="D233" s="18"/>
      <c r="E233" s="18"/>
      <c r="F233" s="18"/>
      <c r="G233" s="97"/>
    </row>
    <row r="234" spans="1:7">
      <c r="A234" s="101"/>
      <c r="B234" s="56"/>
      <c r="C234" s="18"/>
      <c r="D234" s="18"/>
      <c r="E234" s="18"/>
      <c r="F234" s="18"/>
      <c r="G234" s="97"/>
    </row>
    <row r="235" spans="1:7">
      <c r="A235" s="17"/>
      <c r="B235" s="17"/>
      <c r="C235" s="17"/>
      <c r="D235" s="17"/>
      <c r="E235" s="17"/>
      <c r="F235" s="17"/>
      <c r="G235" s="17"/>
    </row>
    <row r="236" spans="1:7">
      <c r="A236" s="17"/>
      <c r="B236" s="17"/>
      <c r="C236" s="17"/>
      <c r="D236" s="17"/>
      <c r="E236" s="17"/>
      <c r="F236" s="17"/>
      <c r="G236" s="17"/>
    </row>
    <row r="237" spans="1:7">
      <c r="A237" s="17"/>
      <c r="B237" s="17"/>
      <c r="C237" s="17"/>
      <c r="D237" s="17"/>
      <c r="E237" s="17"/>
      <c r="F237" s="17"/>
      <c r="G237" s="17"/>
    </row>
    <row r="238" spans="1:7">
      <c r="A238" s="17"/>
      <c r="B238" s="17"/>
      <c r="C238" s="17"/>
      <c r="D238" s="17"/>
      <c r="E238" s="17"/>
      <c r="F238" s="17"/>
      <c r="G238" s="17"/>
    </row>
    <row r="239" spans="1:7">
      <c r="A239" s="17"/>
      <c r="B239" s="17"/>
      <c r="C239" s="17"/>
      <c r="D239" s="17"/>
      <c r="E239" s="17"/>
      <c r="F239" s="17"/>
      <c r="G239" s="17"/>
    </row>
    <row r="240" spans="1:7">
      <c r="A240" s="17"/>
      <c r="B240" s="17"/>
      <c r="C240" s="17"/>
      <c r="D240" s="17"/>
      <c r="E240" s="17"/>
      <c r="F240" s="17"/>
      <c r="G240" s="17"/>
    </row>
    <row r="241" spans="1:7">
      <c r="A241" s="17"/>
      <c r="B241" s="17"/>
      <c r="C241" s="17"/>
      <c r="D241" s="17"/>
      <c r="E241" s="17"/>
      <c r="F241" s="17"/>
      <c r="G241" s="17"/>
    </row>
    <row r="242" spans="1:7">
      <c r="A242" s="17"/>
      <c r="B242" s="17"/>
      <c r="C242" s="17"/>
      <c r="D242" s="17"/>
      <c r="E242" s="17"/>
      <c r="F242" s="17"/>
      <c r="G242" s="17"/>
    </row>
    <row r="243" spans="1:7">
      <c r="A243" s="17"/>
      <c r="B243" s="17"/>
      <c r="C243" s="17"/>
      <c r="D243" s="17"/>
      <c r="E243" s="17"/>
      <c r="F243" s="17"/>
      <c r="G243" s="17"/>
    </row>
    <row r="244" spans="1:7">
      <c r="A244" s="17"/>
      <c r="B244" s="17"/>
      <c r="C244" s="17"/>
      <c r="D244" s="17"/>
      <c r="E244" s="17"/>
      <c r="F244" s="17"/>
      <c r="G244" s="17"/>
    </row>
    <row r="245" spans="1:7">
      <c r="A245" s="17"/>
      <c r="B245" s="17"/>
      <c r="C245" s="17"/>
      <c r="D245" s="17"/>
      <c r="E245" s="17"/>
      <c r="F245" s="17"/>
      <c r="G245" s="17"/>
    </row>
    <row r="246" spans="1:7">
      <c r="A246" s="17"/>
      <c r="B246" s="17"/>
      <c r="C246" s="17"/>
      <c r="D246" s="17"/>
      <c r="E246" s="17"/>
      <c r="F246" s="17"/>
      <c r="G246" s="17"/>
    </row>
    <row r="247" spans="1:7">
      <c r="A247" s="17"/>
      <c r="B247" s="17"/>
      <c r="C247" s="17"/>
      <c r="D247" s="17"/>
      <c r="E247" s="17"/>
      <c r="F247" s="17"/>
      <c r="G247" s="17"/>
    </row>
    <row r="248" spans="1:7">
      <c r="A248" s="17"/>
      <c r="B248" s="17"/>
      <c r="C248" s="17"/>
      <c r="D248" s="17"/>
      <c r="E248" s="17"/>
      <c r="F248" s="17"/>
      <c r="G248" s="17"/>
    </row>
    <row r="249" spans="1:7">
      <c r="A249" s="17"/>
      <c r="B249" s="17"/>
      <c r="C249" s="17"/>
      <c r="D249" s="17"/>
      <c r="E249" s="17"/>
      <c r="F249" s="17"/>
      <c r="G249" s="17"/>
    </row>
    <row r="250" spans="1:7">
      <c r="A250" s="17"/>
      <c r="B250" s="17"/>
      <c r="C250" s="17"/>
      <c r="D250" s="17"/>
      <c r="E250" s="17"/>
      <c r="F250" s="17"/>
      <c r="G250" s="17"/>
    </row>
    <row r="251" spans="1:7">
      <c r="A251" s="17"/>
      <c r="B251" s="17"/>
      <c r="C251" s="17"/>
      <c r="D251" s="17"/>
      <c r="E251" s="17"/>
      <c r="F251" s="17"/>
      <c r="G251" s="17"/>
    </row>
    <row r="252" spans="1:7">
      <c r="A252" s="17"/>
      <c r="B252" s="17"/>
      <c r="C252" s="17"/>
      <c r="D252" s="17"/>
      <c r="E252" s="17"/>
      <c r="F252" s="17"/>
      <c r="G252" s="17"/>
    </row>
    <row r="253" spans="1:7">
      <c r="A253" s="17"/>
      <c r="B253" s="17"/>
      <c r="C253" s="17"/>
      <c r="D253" s="17"/>
      <c r="E253" s="17"/>
      <c r="F253" s="17"/>
      <c r="G253" s="17"/>
    </row>
    <row r="254" spans="1:7">
      <c r="A254" s="17"/>
      <c r="B254" s="17"/>
      <c r="C254" s="17"/>
      <c r="D254" s="17"/>
      <c r="E254" s="17"/>
      <c r="F254" s="17"/>
      <c r="G254" s="17"/>
    </row>
    <row r="255" spans="1:7">
      <c r="A255" s="17"/>
      <c r="B255" s="17"/>
      <c r="C255" s="17"/>
      <c r="D255" s="17"/>
      <c r="E255" s="17"/>
      <c r="F255" s="17"/>
      <c r="G255" s="17"/>
    </row>
    <row r="256" spans="1:7">
      <c r="A256" s="17"/>
      <c r="B256" s="17"/>
      <c r="C256" s="17"/>
      <c r="D256" s="17"/>
      <c r="E256" s="17"/>
      <c r="F256" s="17"/>
      <c r="G256" s="17"/>
    </row>
    <row r="257" spans="1:7">
      <c r="A257" s="17"/>
      <c r="B257" s="17"/>
      <c r="C257" s="17"/>
      <c r="D257" s="17"/>
      <c r="E257" s="17"/>
      <c r="F257" s="17"/>
      <c r="G257" s="17"/>
    </row>
    <row r="258" spans="1:7">
      <c r="A258" s="17"/>
      <c r="B258" s="17"/>
      <c r="C258" s="17"/>
      <c r="D258" s="17"/>
      <c r="E258" s="17"/>
      <c r="F258" s="17"/>
      <c r="G258" s="17"/>
    </row>
    <row r="259" spans="1:7">
      <c r="A259" s="17"/>
      <c r="B259" s="17"/>
      <c r="C259" s="17"/>
      <c r="D259" s="17"/>
      <c r="E259" s="17"/>
      <c r="F259" s="17"/>
      <c r="G259" s="17"/>
    </row>
    <row r="260" spans="1:7">
      <c r="A260" s="17"/>
      <c r="B260" s="17"/>
      <c r="C260" s="17"/>
      <c r="D260" s="17"/>
      <c r="E260" s="17"/>
      <c r="F260" s="17"/>
      <c r="G260" s="17"/>
    </row>
    <row r="261" spans="1:7">
      <c r="A261" s="17"/>
      <c r="B261" s="17"/>
      <c r="C261" s="17"/>
      <c r="D261" s="17"/>
      <c r="E261" s="17"/>
      <c r="F261" s="17"/>
      <c r="G261" s="17"/>
    </row>
    <row r="262" spans="1:7">
      <c r="A262" s="17"/>
      <c r="B262" s="17"/>
      <c r="C262" s="17"/>
      <c r="D262" s="17"/>
      <c r="E262" s="17"/>
      <c r="F262" s="17"/>
      <c r="G262" s="17"/>
    </row>
    <row r="263" spans="1:7">
      <c r="A263" s="17"/>
      <c r="B263" s="17"/>
      <c r="C263" s="17"/>
      <c r="D263" s="17"/>
      <c r="E263" s="17"/>
      <c r="F263" s="17"/>
      <c r="G263" s="17"/>
    </row>
    <row r="264" spans="1:7">
      <c r="A264" s="17"/>
      <c r="B264" s="17"/>
      <c r="C264" s="17"/>
      <c r="D264" s="17"/>
      <c r="E264" s="17"/>
      <c r="F264" s="17"/>
      <c r="G264" s="17"/>
    </row>
    <row r="265" spans="1:7">
      <c r="A265" s="17"/>
      <c r="B265" s="17"/>
      <c r="C265" s="17"/>
      <c r="D265" s="17"/>
      <c r="E265" s="17"/>
      <c r="F265" s="17"/>
      <c r="G265" s="17"/>
    </row>
    <row r="266" spans="1:7">
      <c r="A266" s="17"/>
      <c r="B266" s="17"/>
      <c r="C266" s="17"/>
      <c r="D266" s="17"/>
      <c r="E266" s="17"/>
      <c r="F266" s="17"/>
      <c r="G266" s="17"/>
    </row>
    <row r="267" spans="1:7">
      <c r="A267" s="17"/>
      <c r="B267" s="17"/>
      <c r="C267" s="17"/>
      <c r="D267" s="17"/>
      <c r="E267" s="17"/>
      <c r="F267" s="17"/>
      <c r="G267" s="17"/>
    </row>
    <row r="268" spans="1:7">
      <c r="A268" s="17"/>
      <c r="B268" s="17"/>
      <c r="C268" s="17"/>
      <c r="D268" s="17"/>
      <c r="E268" s="17"/>
      <c r="F268" s="17"/>
      <c r="G268" s="17"/>
    </row>
    <row r="269" spans="1:7">
      <c r="A269" s="17"/>
      <c r="B269" s="17"/>
      <c r="C269" s="17"/>
      <c r="D269" s="17"/>
      <c r="E269" s="17"/>
      <c r="F269" s="17"/>
      <c r="G269" s="17"/>
    </row>
    <row r="270" spans="1:7">
      <c r="A270" s="17"/>
      <c r="B270" s="17"/>
      <c r="C270" s="17"/>
      <c r="D270" s="17"/>
      <c r="E270" s="17"/>
      <c r="F270" s="17"/>
      <c r="G270" s="17"/>
    </row>
    <row r="271" spans="1:7">
      <c r="A271" s="17"/>
      <c r="B271" s="17"/>
      <c r="C271" s="17"/>
      <c r="D271" s="17"/>
      <c r="E271" s="17"/>
      <c r="F271" s="17"/>
      <c r="G271" s="17"/>
    </row>
    <row r="272" spans="1:7">
      <c r="A272" s="17"/>
      <c r="B272" s="17"/>
      <c r="C272" s="17"/>
      <c r="D272" s="17"/>
      <c r="E272" s="17"/>
      <c r="F272" s="17"/>
      <c r="G272" s="17"/>
    </row>
  </sheetData>
  <phoneticPr fontId="3" type="noConversion"/>
  <pageMargins left="0.75" right="0.75" top="1" bottom="1" header="0.5" footer="0.5"/>
  <pageSetup paperSize="9" scale="61" orientation="portrait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34"/>
  <sheetViews>
    <sheetView rightToLeft="1" workbookViewId="0">
      <selection activeCell="B19" sqref="B19"/>
    </sheetView>
  </sheetViews>
  <sheetFormatPr defaultRowHeight="12.75"/>
  <cols>
    <col min="1" max="1" width="9.140625" style="43"/>
    <col min="2" max="2" width="26" style="43" customWidth="1"/>
    <col min="3" max="3" width="18.140625" style="43" customWidth="1"/>
    <col min="4" max="4" width="16.42578125" style="43" customWidth="1"/>
    <col min="5" max="257" width="9.140625" style="43"/>
    <col min="258" max="258" width="26" style="43" customWidth="1"/>
    <col min="259" max="259" width="18.140625" style="43" customWidth="1"/>
    <col min="260" max="260" width="16.42578125" style="43" customWidth="1"/>
    <col min="261" max="513" width="9.140625" style="43"/>
    <col min="514" max="514" width="26" style="43" customWidth="1"/>
    <col min="515" max="515" width="18.140625" style="43" customWidth="1"/>
    <col min="516" max="516" width="16.42578125" style="43" customWidth="1"/>
    <col min="517" max="769" width="9.140625" style="43"/>
    <col min="770" max="770" width="26" style="43" customWidth="1"/>
    <col min="771" max="771" width="18.140625" style="43" customWidth="1"/>
    <col min="772" max="772" width="16.42578125" style="43" customWidth="1"/>
    <col min="773" max="1025" width="9.140625" style="43"/>
    <col min="1026" max="1026" width="26" style="43" customWidth="1"/>
    <col min="1027" max="1027" width="18.140625" style="43" customWidth="1"/>
    <col min="1028" max="1028" width="16.42578125" style="43" customWidth="1"/>
    <col min="1029" max="1281" width="9.140625" style="43"/>
    <col min="1282" max="1282" width="26" style="43" customWidth="1"/>
    <col min="1283" max="1283" width="18.140625" style="43" customWidth="1"/>
    <col min="1284" max="1284" width="16.42578125" style="43" customWidth="1"/>
    <col min="1285" max="1537" width="9.140625" style="43"/>
    <col min="1538" max="1538" width="26" style="43" customWidth="1"/>
    <col min="1539" max="1539" width="18.140625" style="43" customWidth="1"/>
    <col min="1540" max="1540" width="16.42578125" style="43" customWidth="1"/>
    <col min="1541" max="1793" width="9.140625" style="43"/>
    <col min="1794" max="1794" width="26" style="43" customWidth="1"/>
    <col min="1795" max="1795" width="18.140625" style="43" customWidth="1"/>
    <col min="1796" max="1796" width="16.42578125" style="43" customWidth="1"/>
    <col min="1797" max="2049" width="9.140625" style="43"/>
    <col min="2050" max="2050" width="26" style="43" customWidth="1"/>
    <col min="2051" max="2051" width="18.140625" style="43" customWidth="1"/>
    <col min="2052" max="2052" width="16.42578125" style="43" customWidth="1"/>
    <col min="2053" max="2305" width="9.140625" style="43"/>
    <col min="2306" max="2306" width="26" style="43" customWidth="1"/>
    <col min="2307" max="2307" width="18.140625" style="43" customWidth="1"/>
    <col min="2308" max="2308" width="16.42578125" style="43" customWidth="1"/>
    <col min="2309" max="2561" width="9.140625" style="43"/>
    <col min="2562" max="2562" width="26" style="43" customWidth="1"/>
    <col min="2563" max="2563" width="18.140625" style="43" customWidth="1"/>
    <col min="2564" max="2564" width="16.42578125" style="43" customWidth="1"/>
    <col min="2565" max="2817" width="9.140625" style="43"/>
    <col min="2818" max="2818" width="26" style="43" customWidth="1"/>
    <col min="2819" max="2819" width="18.140625" style="43" customWidth="1"/>
    <col min="2820" max="2820" width="16.42578125" style="43" customWidth="1"/>
    <col min="2821" max="3073" width="9.140625" style="43"/>
    <col min="3074" max="3074" width="26" style="43" customWidth="1"/>
    <col min="3075" max="3075" width="18.140625" style="43" customWidth="1"/>
    <col min="3076" max="3076" width="16.42578125" style="43" customWidth="1"/>
    <col min="3077" max="3329" width="9.140625" style="43"/>
    <col min="3330" max="3330" width="26" style="43" customWidth="1"/>
    <col min="3331" max="3331" width="18.140625" style="43" customWidth="1"/>
    <col min="3332" max="3332" width="16.42578125" style="43" customWidth="1"/>
    <col min="3333" max="3585" width="9.140625" style="43"/>
    <col min="3586" max="3586" width="26" style="43" customWidth="1"/>
    <col min="3587" max="3587" width="18.140625" style="43" customWidth="1"/>
    <col min="3588" max="3588" width="16.42578125" style="43" customWidth="1"/>
    <col min="3589" max="3841" width="9.140625" style="43"/>
    <col min="3842" max="3842" width="26" style="43" customWidth="1"/>
    <col min="3843" max="3843" width="18.140625" style="43" customWidth="1"/>
    <col min="3844" max="3844" width="16.42578125" style="43" customWidth="1"/>
    <col min="3845" max="4097" width="9.140625" style="43"/>
    <col min="4098" max="4098" width="26" style="43" customWidth="1"/>
    <col min="4099" max="4099" width="18.140625" style="43" customWidth="1"/>
    <col min="4100" max="4100" width="16.42578125" style="43" customWidth="1"/>
    <col min="4101" max="4353" width="9.140625" style="43"/>
    <col min="4354" max="4354" width="26" style="43" customWidth="1"/>
    <col min="4355" max="4355" width="18.140625" style="43" customWidth="1"/>
    <col min="4356" max="4356" width="16.42578125" style="43" customWidth="1"/>
    <col min="4357" max="4609" width="9.140625" style="43"/>
    <col min="4610" max="4610" width="26" style="43" customWidth="1"/>
    <col min="4611" max="4611" width="18.140625" style="43" customWidth="1"/>
    <col min="4612" max="4612" width="16.42578125" style="43" customWidth="1"/>
    <col min="4613" max="4865" width="9.140625" style="43"/>
    <col min="4866" max="4866" width="26" style="43" customWidth="1"/>
    <col min="4867" max="4867" width="18.140625" style="43" customWidth="1"/>
    <col min="4868" max="4868" width="16.42578125" style="43" customWidth="1"/>
    <col min="4869" max="5121" width="9.140625" style="43"/>
    <col min="5122" max="5122" width="26" style="43" customWidth="1"/>
    <col min="5123" max="5123" width="18.140625" style="43" customWidth="1"/>
    <col min="5124" max="5124" width="16.42578125" style="43" customWidth="1"/>
    <col min="5125" max="5377" width="9.140625" style="43"/>
    <col min="5378" max="5378" width="26" style="43" customWidth="1"/>
    <col min="5379" max="5379" width="18.140625" style="43" customWidth="1"/>
    <col min="5380" max="5380" width="16.42578125" style="43" customWidth="1"/>
    <col min="5381" max="5633" width="9.140625" style="43"/>
    <col min="5634" max="5634" width="26" style="43" customWidth="1"/>
    <col min="5635" max="5635" width="18.140625" style="43" customWidth="1"/>
    <col min="5636" max="5636" width="16.42578125" style="43" customWidth="1"/>
    <col min="5637" max="5889" width="9.140625" style="43"/>
    <col min="5890" max="5890" width="26" style="43" customWidth="1"/>
    <col min="5891" max="5891" width="18.140625" style="43" customWidth="1"/>
    <col min="5892" max="5892" width="16.42578125" style="43" customWidth="1"/>
    <col min="5893" max="6145" width="9.140625" style="43"/>
    <col min="6146" max="6146" width="26" style="43" customWidth="1"/>
    <col min="6147" max="6147" width="18.140625" style="43" customWidth="1"/>
    <col min="6148" max="6148" width="16.42578125" style="43" customWidth="1"/>
    <col min="6149" max="6401" width="9.140625" style="43"/>
    <col min="6402" max="6402" width="26" style="43" customWidth="1"/>
    <col min="6403" max="6403" width="18.140625" style="43" customWidth="1"/>
    <col min="6404" max="6404" width="16.42578125" style="43" customWidth="1"/>
    <col min="6405" max="6657" width="9.140625" style="43"/>
    <col min="6658" max="6658" width="26" style="43" customWidth="1"/>
    <col min="6659" max="6659" width="18.140625" style="43" customWidth="1"/>
    <col min="6660" max="6660" width="16.42578125" style="43" customWidth="1"/>
    <col min="6661" max="6913" width="9.140625" style="43"/>
    <col min="6914" max="6914" width="26" style="43" customWidth="1"/>
    <col min="6915" max="6915" width="18.140625" style="43" customWidth="1"/>
    <col min="6916" max="6916" width="16.42578125" style="43" customWidth="1"/>
    <col min="6917" max="7169" width="9.140625" style="43"/>
    <col min="7170" max="7170" width="26" style="43" customWidth="1"/>
    <col min="7171" max="7171" width="18.140625" style="43" customWidth="1"/>
    <col min="7172" max="7172" width="16.42578125" style="43" customWidth="1"/>
    <col min="7173" max="7425" width="9.140625" style="43"/>
    <col min="7426" max="7426" width="26" style="43" customWidth="1"/>
    <col min="7427" max="7427" width="18.140625" style="43" customWidth="1"/>
    <col min="7428" max="7428" width="16.42578125" style="43" customWidth="1"/>
    <col min="7429" max="7681" width="9.140625" style="43"/>
    <col min="7682" max="7682" width="26" style="43" customWidth="1"/>
    <col min="7683" max="7683" width="18.140625" style="43" customWidth="1"/>
    <col min="7684" max="7684" width="16.42578125" style="43" customWidth="1"/>
    <col min="7685" max="7937" width="9.140625" style="43"/>
    <col min="7938" max="7938" width="26" style="43" customWidth="1"/>
    <col min="7939" max="7939" width="18.140625" style="43" customWidth="1"/>
    <col min="7940" max="7940" width="16.42578125" style="43" customWidth="1"/>
    <col min="7941" max="8193" width="9.140625" style="43"/>
    <col min="8194" max="8194" width="26" style="43" customWidth="1"/>
    <col min="8195" max="8195" width="18.140625" style="43" customWidth="1"/>
    <col min="8196" max="8196" width="16.42578125" style="43" customWidth="1"/>
    <col min="8197" max="8449" width="9.140625" style="43"/>
    <col min="8450" max="8450" width="26" style="43" customWidth="1"/>
    <col min="8451" max="8451" width="18.140625" style="43" customWidth="1"/>
    <col min="8452" max="8452" width="16.42578125" style="43" customWidth="1"/>
    <col min="8453" max="8705" width="9.140625" style="43"/>
    <col min="8706" max="8706" width="26" style="43" customWidth="1"/>
    <col min="8707" max="8707" width="18.140625" style="43" customWidth="1"/>
    <col min="8708" max="8708" width="16.42578125" style="43" customWidth="1"/>
    <col min="8709" max="8961" width="9.140625" style="43"/>
    <col min="8962" max="8962" width="26" style="43" customWidth="1"/>
    <col min="8963" max="8963" width="18.140625" style="43" customWidth="1"/>
    <col min="8964" max="8964" width="16.42578125" style="43" customWidth="1"/>
    <col min="8965" max="9217" width="9.140625" style="43"/>
    <col min="9218" max="9218" width="26" style="43" customWidth="1"/>
    <col min="9219" max="9219" width="18.140625" style="43" customWidth="1"/>
    <col min="9220" max="9220" width="16.42578125" style="43" customWidth="1"/>
    <col min="9221" max="9473" width="9.140625" style="43"/>
    <col min="9474" max="9474" width="26" style="43" customWidth="1"/>
    <col min="9475" max="9475" width="18.140625" style="43" customWidth="1"/>
    <col min="9476" max="9476" width="16.42578125" style="43" customWidth="1"/>
    <col min="9477" max="9729" width="9.140625" style="43"/>
    <col min="9730" max="9730" width="26" style="43" customWidth="1"/>
    <col min="9731" max="9731" width="18.140625" style="43" customWidth="1"/>
    <col min="9732" max="9732" width="16.42578125" style="43" customWidth="1"/>
    <col min="9733" max="9985" width="9.140625" style="43"/>
    <col min="9986" max="9986" width="26" style="43" customWidth="1"/>
    <col min="9987" max="9987" width="18.140625" style="43" customWidth="1"/>
    <col min="9988" max="9988" width="16.42578125" style="43" customWidth="1"/>
    <col min="9989" max="10241" width="9.140625" style="43"/>
    <col min="10242" max="10242" width="26" style="43" customWidth="1"/>
    <col min="10243" max="10243" width="18.140625" style="43" customWidth="1"/>
    <col min="10244" max="10244" width="16.42578125" style="43" customWidth="1"/>
    <col min="10245" max="10497" width="9.140625" style="43"/>
    <col min="10498" max="10498" width="26" style="43" customWidth="1"/>
    <col min="10499" max="10499" width="18.140625" style="43" customWidth="1"/>
    <col min="10500" max="10500" width="16.42578125" style="43" customWidth="1"/>
    <col min="10501" max="10753" width="9.140625" style="43"/>
    <col min="10754" max="10754" width="26" style="43" customWidth="1"/>
    <col min="10755" max="10755" width="18.140625" style="43" customWidth="1"/>
    <col min="10756" max="10756" width="16.42578125" style="43" customWidth="1"/>
    <col min="10757" max="11009" width="9.140625" style="43"/>
    <col min="11010" max="11010" width="26" style="43" customWidth="1"/>
    <col min="11011" max="11011" width="18.140625" style="43" customWidth="1"/>
    <col min="11012" max="11012" width="16.42578125" style="43" customWidth="1"/>
    <col min="11013" max="11265" width="9.140625" style="43"/>
    <col min="11266" max="11266" width="26" style="43" customWidth="1"/>
    <col min="11267" max="11267" width="18.140625" style="43" customWidth="1"/>
    <col min="11268" max="11268" width="16.42578125" style="43" customWidth="1"/>
    <col min="11269" max="11521" width="9.140625" style="43"/>
    <col min="11522" max="11522" width="26" style="43" customWidth="1"/>
    <col min="11523" max="11523" width="18.140625" style="43" customWidth="1"/>
    <col min="11524" max="11524" width="16.42578125" style="43" customWidth="1"/>
    <col min="11525" max="11777" width="9.140625" style="43"/>
    <col min="11778" max="11778" width="26" style="43" customWidth="1"/>
    <col min="11779" max="11779" width="18.140625" style="43" customWidth="1"/>
    <col min="11780" max="11780" width="16.42578125" style="43" customWidth="1"/>
    <col min="11781" max="12033" width="9.140625" style="43"/>
    <col min="12034" max="12034" width="26" style="43" customWidth="1"/>
    <col min="12035" max="12035" width="18.140625" style="43" customWidth="1"/>
    <col min="12036" max="12036" width="16.42578125" style="43" customWidth="1"/>
    <col min="12037" max="12289" width="9.140625" style="43"/>
    <col min="12290" max="12290" width="26" style="43" customWidth="1"/>
    <col min="12291" max="12291" width="18.140625" style="43" customWidth="1"/>
    <col min="12292" max="12292" width="16.42578125" style="43" customWidth="1"/>
    <col min="12293" max="12545" width="9.140625" style="43"/>
    <col min="12546" max="12546" width="26" style="43" customWidth="1"/>
    <col min="12547" max="12547" width="18.140625" style="43" customWidth="1"/>
    <col min="12548" max="12548" width="16.42578125" style="43" customWidth="1"/>
    <col min="12549" max="12801" width="9.140625" style="43"/>
    <col min="12802" max="12802" width="26" style="43" customWidth="1"/>
    <col min="12803" max="12803" width="18.140625" style="43" customWidth="1"/>
    <col min="12804" max="12804" width="16.42578125" style="43" customWidth="1"/>
    <col min="12805" max="13057" width="9.140625" style="43"/>
    <col min="13058" max="13058" width="26" style="43" customWidth="1"/>
    <col min="13059" max="13059" width="18.140625" style="43" customWidth="1"/>
    <col min="13060" max="13060" width="16.42578125" style="43" customWidth="1"/>
    <col min="13061" max="13313" width="9.140625" style="43"/>
    <col min="13314" max="13314" width="26" style="43" customWidth="1"/>
    <col min="13315" max="13315" width="18.140625" style="43" customWidth="1"/>
    <col min="13316" max="13316" width="16.42578125" style="43" customWidth="1"/>
    <col min="13317" max="13569" width="9.140625" style="43"/>
    <col min="13570" max="13570" width="26" style="43" customWidth="1"/>
    <col min="13571" max="13571" width="18.140625" style="43" customWidth="1"/>
    <col min="13572" max="13572" width="16.42578125" style="43" customWidth="1"/>
    <col min="13573" max="13825" width="9.140625" style="43"/>
    <col min="13826" max="13826" width="26" style="43" customWidth="1"/>
    <col min="13827" max="13827" width="18.140625" style="43" customWidth="1"/>
    <col min="13828" max="13828" width="16.42578125" style="43" customWidth="1"/>
    <col min="13829" max="14081" width="9.140625" style="43"/>
    <col min="14082" max="14082" width="26" style="43" customWidth="1"/>
    <col min="14083" max="14083" width="18.140625" style="43" customWidth="1"/>
    <col min="14084" max="14084" width="16.42578125" style="43" customWidth="1"/>
    <col min="14085" max="14337" width="9.140625" style="43"/>
    <col min="14338" max="14338" width="26" style="43" customWidth="1"/>
    <col min="14339" max="14339" width="18.140625" style="43" customWidth="1"/>
    <col min="14340" max="14340" width="16.42578125" style="43" customWidth="1"/>
    <col min="14341" max="14593" width="9.140625" style="43"/>
    <col min="14594" max="14594" width="26" style="43" customWidth="1"/>
    <col min="14595" max="14595" width="18.140625" style="43" customWidth="1"/>
    <col min="14596" max="14596" width="16.42578125" style="43" customWidth="1"/>
    <col min="14597" max="14849" width="9.140625" style="43"/>
    <col min="14850" max="14850" width="26" style="43" customWidth="1"/>
    <col min="14851" max="14851" width="18.140625" style="43" customWidth="1"/>
    <col min="14852" max="14852" width="16.42578125" style="43" customWidth="1"/>
    <col min="14853" max="15105" width="9.140625" style="43"/>
    <col min="15106" max="15106" width="26" style="43" customWidth="1"/>
    <col min="15107" max="15107" width="18.140625" style="43" customWidth="1"/>
    <col min="15108" max="15108" width="16.42578125" style="43" customWidth="1"/>
    <col min="15109" max="15361" width="9.140625" style="43"/>
    <col min="15362" max="15362" width="26" style="43" customWidth="1"/>
    <col min="15363" max="15363" width="18.140625" style="43" customWidth="1"/>
    <col min="15364" max="15364" width="16.42578125" style="43" customWidth="1"/>
    <col min="15365" max="15617" width="9.140625" style="43"/>
    <col min="15618" max="15618" width="26" style="43" customWidth="1"/>
    <col min="15619" max="15619" width="18.140625" style="43" customWidth="1"/>
    <col min="15620" max="15620" width="16.42578125" style="43" customWidth="1"/>
    <col min="15621" max="15873" width="9.140625" style="43"/>
    <col min="15874" max="15874" width="26" style="43" customWidth="1"/>
    <col min="15875" max="15875" width="18.140625" style="43" customWidth="1"/>
    <col min="15876" max="15876" width="16.42578125" style="43" customWidth="1"/>
    <col min="15877" max="16129" width="9.140625" style="43"/>
    <col min="16130" max="16130" width="26" style="43" customWidth="1"/>
    <col min="16131" max="16131" width="18.140625" style="43" customWidth="1"/>
    <col min="16132" max="16132" width="16.42578125" style="43" customWidth="1"/>
    <col min="16133" max="16384" width="9.140625" style="43"/>
  </cols>
  <sheetData>
    <row r="2" spans="1:4">
      <c r="A2" s="110" t="s">
        <v>132</v>
      </c>
      <c r="B2" s="239" t="s">
        <v>133</v>
      </c>
      <c r="C2" s="239"/>
    </row>
    <row r="3" spans="1:4">
      <c r="A3" s="111">
        <v>1</v>
      </c>
      <c r="B3" s="112" t="s">
        <v>134</v>
      </c>
      <c r="C3" s="113">
        <v>95000</v>
      </c>
      <c r="D3" s="112"/>
    </row>
    <row r="4" spans="1:4">
      <c r="A4" s="111"/>
      <c r="B4" s="112" t="s">
        <v>135</v>
      </c>
      <c r="C4" s="113">
        <f>140000*0.4</f>
        <v>56000</v>
      </c>
      <c r="D4" s="112"/>
    </row>
    <row r="5" spans="1:4">
      <c r="A5" s="111">
        <v>2</v>
      </c>
      <c r="B5" s="114" t="s">
        <v>136</v>
      </c>
      <c r="C5" s="113">
        <f>-(C56+C57)</f>
        <v>-16800</v>
      </c>
      <c r="D5" s="112"/>
    </row>
    <row r="6" spans="1:4">
      <c r="A6" s="111">
        <v>2</v>
      </c>
      <c r="B6" s="114" t="s">
        <v>137</v>
      </c>
      <c r="C6" s="113">
        <f>-(C58+C59)</f>
        <v>-9600</v>
      </c>
      <c r="D6" s="112"/>
    </row>
    <row r="7" spans="1:4">
      <c r="A7" s="111"/>
      <c r="B7" s="114" t="s">
        <v>138</v>
      </c>
      <c r="C7" s="113">
        <f>-8000*0.7*1/5</f>
        <v>-1120</v>
      </c>
      <c r="D7" s="112"/>
    </row>
    <row r="8" spans="1:4">
      <c r="A8" s="111">
        <v>3</v>
      </c>
      <c r="B8" s="114" t="s">
        <v>139</v>
      </c>
      <c r="C8" s="113">
        <f>E73</f>
        <v>-1399.9999999999986</v>
      </c>
      <c r="D8" s="112"/>
    </row>
    <row r="9" spans="1:4">
      <c r="A9" s="111">
        <v>4</v>
      </c>
      <c r="B9" s="115" t="s">
        <v>140</v>
      </c>
      <c r="C9" s="113"/>
      <c r="D9" s="112"/>
    </row>
    <row r="10" spans="1:4">
      <c r="A10" s="111"/>
      <c r="B10" s="114" t="s">
        <v>141</v>
      </c>
      <c r="C10" s="113">
        <f>C85</f>
        <v>11325.000000000002</v>
      </c>
      <c r="D10" s="112"/>
    </row>
    <row r="11" spans="1:4">
      <c r="A11" s="111"/>
      <c r="B11" s="114" t="s">
        <v>142</v>
      </c>
      <c r="C11" s="113">
        <f>C86</f>
        <v>6400.0000000000009</v>
      </c>
      <c r="D11" s="112"/>
    </row>
    <row r="12" spans="1:4">
      <c r="A12" s="111"/>
      <c r="B12" s="114" t="s">
        <v>143</v>
      </c>
      <c r="C12" s="113">
        <f>-11325*1/15*9/12</f>
        <v>-566.25</v>
      </c>
      <c r="D12" s="112"/>
    </row>
    <row r="13" spans="1:4">
      <c r="A13" s="111">
        <v>5</v>
      </c>
      <c r="B13" s="114" t="s">
        <v>144</v>
      </c>
      <c r="C13" s="116">
        <v>0</v>
      </c>
      <c r="D13" s="112"/>
    </row>
    <row r="14" spans="1:4">
      <c r="A14" s="111"/>
      <c r="B14" s="111" t="s">
        <v>145</v>
      </c>
      <c r="C14" s="117">
        <f>SUM(C3:C13)</f>
        <v>139238.75</v>
      </c>
      <c r="D14" s="112"/>
    </row>
    <row r="15" spans="1:4">
      <c r="A15" s="111"/>
      <c r="B15" s="114" t="s">
        <v>146</v>
      </c>
      <c r="C15" s="113">
        <f>0.4*100000*3/12</f>
        <v>10000</v>
      </c>
      <c r="D15" s="112"/>
    </row>
    <row r="16" spans="1:4">
      <c r="A16" s="111"/>
      <c r="B16" s="114" t="s">
        <v>138</v>
      </c>
      <c r="C16" s="113">
        <f>-8000*0.7*1/5*3/12</f>
        <v>-280</v>
      </c>
      <c r="D16" s="112"/>
    </row>
    <row r="17" spans="1:4">
      <c r="A17" s="111">
        <v>3</v>
      </c>
      <c r="B17" s="114" t="s">
        <v>139</v>
      </c>
      <c r="C17" s="113">
        <f>E75</f>
        <v>-840.00000000000148</v>
      </c>
      <c r="D17" s="112"/>
    </row>
    <row r="18" spans="1:4">
      <c r="A18" s="111"/>
      <c r="B18" s="114" t="s">
        <v>143</v>
      </c>
      <c r="C18" s="113">
        <f>-11325*1/15*3/12</f>
        <v>-188.75</v>
      </c>
      <c r="D18" s="112"/>
    </row>
    <row r="19" spans="1:4">
      <c r="A19" s="111">
        <v>6</v>
      </c>
      <c r="B19" s="114" t="s">
        <v>147</v>
      </c>
      <c r="C19" s="116">
        <f>C97</f>
        <v>-734.99999999999989</v>
      </c>
      <c r="D19" s="112"/>
    </row>
    <row r="20" spans="1:4">
      <c r="A20" s="111"/>
      <c r="B20" s="111" t="s">
        <v>148</v>
      </c>
      <c r="C20" s="117">
        <f>SUM(C14:C19)</f>
        <v>147195</v>
      </c>
      <c r="D20" s="112"/>
    </row>
    <row r="21" spans="1:4">
      <c r="A21" s="111">
        <v>7</v>
      </c>
      <c r="B21" s="114" t="s">
        <v>149</v>
      </c>
      <c r="C21" s="116">
        <v>88000</v>
      </c>
      <c r="D21" s="112"/>
    </row>
    <row r="22" spans="1:4">
      <c r="A22" s="111"/>
      <c r="B22" s="111" t="s">
        <v>150</v>
      </c>
      <c r="C22" s="117">
        <f>SUM(C20:C21)</f>
        <v>235195</v>
      </c>
      <c r="D22" s="112"/>
    </row>
    <row r="23" spans="1:4">
      <c r="A23" s="111"/>
      <c r="B23" s="112" t="s">
        <v>151</v>
      </c>
      <c r="C23" s="113">
        <f>0.45*100000*9/12</f>
        <v>33750</v>
      </c>
      <c r="D23" s="112"/>
    </row>
    <row r="24" spans="1:4">
      <c r="A24" s="111"/>
      <c r="B24" s="112" t="s">
        <v>138</v>
      </c>
      <c r="C24" s="118">
        <f>-(8000*0.7*1/5*9/12+1100*0.7*1/3.75*9/12)</f>
        <v>-994</v>
      </c>
      <c r="D24" s="112"/>
    </row>
    <row r="25" spans="1:4">
      <c r="A25" s="111"/>
      <c r="B25" s="114" t="s">
        <v>143</v>
      </c>
      <c r="C25" s="113">
        <f>-11325*1/15*9/12</f>
        <v>-566.25</v>
      </c>
      <c r="D25" s="112"/>
    </row>
    <row r="26" spans="1:4">
      <c r="A26" s="111"/>
      <c r="B26" s="119" t="s">
        <v>152</v>
      </c>
      <c r="C26" s="120">
        <f>735*0.05/0.35</f>
        <v>105</v>
      </c>
      <c r="D26" s="119"/>
    </row>
    <row r="27" spans="1:4">
      <c r="A27" s="111"/>
      <c r="B27" s="119" t="s">
        <v>147</v>
      </c>
      <c r="C27" s="121">
        <f>(735-105)/2</f>
        <v>315</v>
      </c>
      <c r="D27" s="119"/>
    </row>
    <row r="28" spans="1:4">
      <c r="A28" s="111"/>
      <c r="B28" s="111" t="s">
        <v>153</v>
      </c>
      <c r="C28" s="117">
        <f>SUM(C22:C27)</f>
        <v>267804.75</v>
      </c>
      <c r="D28" s="112"/>
    </row>
    <row r="29" spans="1:4">
      <c r="A29" s="111"/>
      <c r="B29" s="112" t="s">
        <v>135</v>
      </c>
      <c r="C29" s="118">
        <f>50000*0.45</f>
        <v>22500</v>
      </c>
      <c r="D29" s="112"/>
    </row>
    <row r="30" spans="1:4">
      <c r="A30" s="111"/>
      <c r="B30" s="114" t="s">
        <v>138</v>
      </c>
      <c r="C30" s="118">
        <f>-(8000*0.7*1/5+1100*0.7*1/3.75)</f>
        <v>-1325.3333333333333</v>
      </c>
      <c r="D30" s="112"/>
    </row>
    <row r="31" spans="1:4">
      <c r="A31" s="111"/>
      <c r="B31" s="112" t="s">
        <v>143</v>
      </c>
      <c r="C31" s="113">
        <f>-11325*1/15</f>
        <v>-755</v>
      </c>
      <c r="D31" s="112"/>
    </row>
    <row r="32" spans="1:4">
      <c r="A32" s="111"/>
      <c r="B32" s="112" t="s">
        <v>152</v>
      </c>
      <c r="C32" s="122">
        <f>(735-105)/2</f>
        <v>315</v>
      </c>
      <c r="D32" s="112"/>
    </row>
    <row r="33" spans="1:5">
      <c r="A33" s="111"/>
      <c r="B33" s="112" t="s">
        <v>154</v>
      </c>
      <c r="C33" s="121">
        <f>-'[1]השקעה בחברת גלי'!C57</f>
        <v>-490</v>
      </c>
      <c r="D33" s="112"/>
    </row>
    <row r="34" spans="1:5">
      <c r="A34" s="111"/>
      <c r="B34" s="111" t="s">
        <v>155</v>
      </c>
      <c r="C34" s="117">
        <f>SUM(C28:C33)</f>
        <v>288049.41666666669</v>
      </c>
      <c r="D34" s="112"/>
    </row>
    <row r="35" spans="1:5">
      <c r="A35" s="111"/>
      <c r="B35" s="111"/>
      <c r="C35" s="117"/>
      <c r="D35" s="112"/>
    </row>
    <row r="36" spans="1:5">
      <c r="A36" s="111"/>
      <c r="B36" s="240" t="s">
        <v>156</v>
      </c>
      <c r="C36" s="240"/>
    </row>
    <row r="37" spans="1:5">
      <c r="A37" s="111"/>
      <c r="B37" s="123"/>
      <c r="C37" s="124">
        <v>2013</v>
      </c>
      <c r="D37" s="125">
        <v>2014</v>
      </c>
      <c r="E37" s="125">
        <v>2015</v>
      </c>
    </row>
    <row r="38" spans="1:5">
      <c r="A38" s="111"/>
      <c r="B38" s="126" t="s">
        <v>135</v>
      </c>
      <c r="C38" s="127">
        <f>C4+C5+C6+C7+C8+C10+C11+C12</f>
        <v>44238.75</v>
      </c>
      <c r="D38" s="127">
        <f>C15+C16+C17+C18+C19+C23+C24+C25+C27</f>
        <v>40461</v>
      </c>
      <c r="E38" s="127">
        <f>C29+C30+C31</f>
        <v>20419.666666666668</v>
      </c>
    </row>
    <row r="39" spans="1:5">
      <c r="A39" s="111"/>
      <c r="B39" s="126" t="s">
        <v>157</v>
      </c>
      <c r="C39" s="127">
        <v>0</v>
      </c>
      <c r="D39" s="127">
        <f>C26</f>
        <v>105</v>
      </c>
      <c r="E39" s="127">
        <f>C32</f>
        <v>315</v>
      </c>
    </row>
    <row r="40" spans="1:5">
      <c r="B40" s="126" t="s">
        <v>158</v>
      </c>
      <c r="C40" s="127">
        <v>0</v>
      </c>
      <c r="D40" s="126">
        <v>0</v>
      </c>
      <c r="E40" s="126">
        <v>0</v>
      </c>
    </row>
    <row r="41" spans="1:5">
      <c r="B41" s="128"/>
      <c r="C41" s="129"/>
      <c r="D41" s="130"/>
      <c r="E41" s="130"/>
    </row>
    <row r="42" spans="1:5">
      <c r="B42" s="128"/>
      <c r="C42" s="129"/>
      <c r="D42" s="130"/>
      <c r="E42" s="130"/>
    </row>
    <row r="43" spans="1:5">
      <c r="B43" s="239" t="s">
        <v>132</v>
      </c>
      <c r="C43" s="239"/>
      <c r="D43" s="112"/>
    </row>
    <row r="44" spans="1:5">
      <c r="B44" s="110"/>
      <c r="C44" s="110"/>
      <c r="D44" s="112"/>
    </row>
    <row r="45" spans="1:5">
      <c r="A45" s="111">
        <v>1</v>
      </c>
      <c r="B45" s="238" t="s">
        <v>159</v>
      </c>
      <c r="C45" s="239"/>
      <c r="D45" s="112"/>
    </row>
    <row r="46" spans="1:5">
      <c r="B46" s="114" t="s">
        <v>160</v>
      </c>
      <c r="C46" s="114">
        <v>110000</v>
      </c>
      <c r="D46" s="112"/>
    </row>
    <row r="47" spans="1:5">
      <c r="B47" s="114" t="s">
        <v>139</v>
      </c>
      <c r="C47" s="115">
        <f>-40000*0.7</f>
        <v>-28000</v>
      </c>
      <c r="D47" s="112"/>
    </row>
    <row r="48" spans="1:5">
      <c r="B48" s="114"/>
      <c r="C48" s="114">
        <f>SUM(C46:C47)</f>
        <v>82000</v>
      </c>
      <c r="D48" s="112"/>
    </row>
    <row r="49" spans="2:4">
      <c r="B49" s="114"/>
      <c r="C49" s="114"/>
      <c r="D49" s="112"/>
    </row>
    <row r="50" spans="2:4">
      <c r="B50" s="238" t="s">
        <v>161</v>
      </c>
      <c r="C50" s="241"/>
      <c r="D50" s="112"/>
    </row>
    <row r="51" spans="2:4">
      <c r="B51" s="112" t="s">
        <v>162</v>
      </c>
      <c r="C51" s="113">
        <v>95000</v>
      </c>
      <c r="D51" s="112"/>
    </row>
    <row r="52" spans="2:4">
      <c r="B52" s="112" t="s">
        <v>163</v>
      </c>
      <c r="C52" s="116">
        <f>-C48*0.4</f>
        <v>-32800</v>
      </c>
      <c r="D52" s="112"/>
    </row>
    <row r="53" spans="2:4">
      <c r="B53" s="112" t="s">
        <v>164</v>
      </c>
      <c r="C53" s="113">
        <f>SUM(C51:C52)</f>
        <v>62200</v>
      </c>
      <c r="D53" s="112"/>
    </row>
    <row r="54" spans="2:4">
      <c r="B54" s="112"/>
      <c r="C54" s="113"/>
    </row>
    <row r="55" spans="2:4">
      <c r="B55" s="115" t="s">
        <v>165</v>
      </c>
      <c r="C55" s="113"/>
    </row>
    <row r="56" spans="2:4">
      <c r="B56" s="114" t="s">
        <v>166</v>
      </c>
      <c r="C56" s="113">
        <f>(270000-180000)*2/3*0.4</f>
        <v>24000</v>
      </c>
    </row>
    <row r="57" spans="2:4">
      <c r="B57" s="112" t="s">
        <v>167</v>
      </c>
      <c r="C57" s="113">
        <f>-C56*0.3</f>
        <v>-7200</v>
      </c>
    </row>
    <row r="58" spans="2:4">
      <c r="B58" s="114" t="s">
        <v>168</v>
      </c>
      <c r="C58" s="113">
        <f>(270000-180000)*1/3*0.4</f>
        <v>12000</v>
      </c>
    </row>
    <row r="59" spans="2:4">
      <c r="B59" s="112" t="s">
        <v>167</v>
      </c>
      <c r="C59" s="113">
        <f>-C58*0.2</f>
        <v>-2400</v>
      </c>
    </row>
    <row r="60" spans="2:4">
      <c r="B60" s="114" t="s">
        <v>169</v>
      </c>
      <c r="C60" s="113">
        <f>20000*0.4</f>
        <v>8000</v>
      </c>
    </row>
    <row r="61" spans="2:4">
      <c r="B61" s="114" t="s">
        <v>167</v>
      </c>
      <c r="C61" s="113">
        <f>-C60*0.3</f>
        <v>-2400</v>
      </c>
    </row>
    <row r="62" spans="2:4">
      <c r="B62" s="112" t="s">
        <v>170</v>
      </c>
      <c r="C62" s="116">
        <f>C63-SUM(C56:C61)</f>
        <v>30200</v>
      </c>
    </row>
    <row r="63" spans="2:4">
      <c r="B63" s="111" t="s">
        <v>164</v>
      </c>
      <c r="C63" s="117">
        <f>C53</f>
        <v>62200</v>
      </c>
    </row>
    <row r="64" spans="2:4">
      <c r="B64" s="111"/>
      <c r="C64" s="117"/>
    </row>
    <row r="65" spans="1:5">
      <c r="B65" s="131" t="s">
        <v>171</v>
      </c>
      <c r="C65" s="113"/>
    </row>
    <row r="66" spans="1:5">
      <c r="B66" s="131"/>
      <c r="C66" s="113"/>
    </row>
    <row r="67" spans="1:5">
      <c r="A67" s="111">
        <v>2</v>
      </c>
      <c r="B67" s="242" t="s">
        <v>172</v>
      </c>
      <c r="C67" s="242"/>
    </row>
    <row r="68" spans="1:5">
      <c r="A68" s="111"/>
      <c r="B68" s="131" t="s">
        <v>173</v>
      </c>
      <c r="C68" s="113"/>
    </row>
    <row r="69" spans="1:5">
      <c r="B69" s="131" t="s">
        <v>174</v>
      </c>
      <c r="C69" s="113"/>
    </row>
    <row r="70" spans="1:5">
      <c r="B70" s="131"/>
      <c r="C70" s="113"/>
    </row>
    <row r="71" spans="1:5">
      <c r="A71" s="111">
        <v>3</v>
      </c>
      <c r="B71" s="242" t="s">
        <v>139</v>
      </c>
      <c r="C71" s="242"/>
    </row>
    <row r="72" spans="1:5">
      <c r="A72" s="111"/>
      <c r="B72" s="114" t="s">
        <v>175</v>
      </c>
      <c r="C72" s="114">
        <f>-40000*0.7</f>
        <v>-28000</v>
      </c>
    </row>
    <row r="73" spans="1:5">
      <c r="A73" s="111"/>
      <c r="B73" s="114" t="s">
        <v>5</v>
      </c>
      <c r="C73" s="115">
        <f>C74-C72</f>
        <v>-3499.9999999999964</v>
      </c>
      <c r="D73" s="16" t="s">
        <v>176</v>
      </c>
      <c r="E73" s="43">
        <f>C73*0.4</f>
        <v>-1399.9999999999986</v>
      </c>
    </row>
    <row r="74" spans="1:5">
      <c r="A74" s="111"/>
      <c r="B74" s="114" t="s">
        <v>177</v>
      </c>
      <c r="C74" s="114">
        <f>-45000*0.7</f>
        <v>-31499.999999999996</v>
      </c>
    </row>
    <row r="75" spans="1:5">
      <c r="A75" s="111"/>
      <c r="B75" s="114" t="s">
        <v>5</v>
      </c>
      <c r="C75" s="116">
        <f>C76-C74</f>
        <v>-2100.0000000000036</v>
      </c>
      <c r="D75" s="16" t="s">
        <v>176</v>
      </c>
      <c r="E75" s="43">
        <f>C75*0.4</f>
        <v>-840.00000000000148</v>
      </c>
    </row>
    <row r="76" spans="1:5">
      <c r="B76" s="114" t="s">
        <v>178</v>
      </c>
      <c r="C76" s="118">
        <f>-48000*0.7</f>
        <v>-33600</v>
      </c>
    </row>
    <row r="77" spans="1:5">
      <c r="B77" s="114"/>
      <c r="C77" s="118"/>
    </row>
    <row r="78" spans="1:5">
      <c r="B78" s="132" t="s">
        <v>179</v>
      </c>
      <c r="C78" s="118"/>
    </row>
    <row r="79" spans="1:5">
      <c r="B79" s="112"/>
      <c r="C79" s="113"/>
    </row>
    <row r="80" spans="1:5">
      <c r="A80" s="111">
        <v>4</v>
      </c>
      <c r="B80" s="238" t="s">
        <v>180</v>
      </c>
      <c r="C80" s="241"/>
    </row>
    <row r="81" spans="1:3">
      <c r="B81" s="132" t="s">
        <v>181</v>
      </c>
      <c r="C81" s="113"/>
    </row>
    <row r="82" spans="1:3">
      <c r="B82" s="132" t="s">
        <v>182</v>
      </c>
      <c r="C82" s="113"/>
    </row>
    <row r="83" spans="1:3">
      <c r="B83" s="132" t="s">
        <v>183</v>
      </c>
      <c r="C83" s="113"/>
    </row>
    <row r="84" spans="1:3">
      <c r="B84" s="132" t="s">
        <v>184</v>
      </c>
      <c r="C84" s="113"/>
    </row>
    <row r="85" spans="1:3">
      <c r="B85" s="132" t="s">
        <v>185</v>
      </c>
      <c r="C85" s="113">
        <f>-0.4*0.75*(210000*2/3-270000*2/3*19.75/20)</f>
        <v>11325.000000000002</v>
      </c>
    </row>
    <row r="86" spans="1:3">
      <c r="B86" s="132" t="s">
        <v>186</v>
      </c>
      <c r="C86" s="113">
        <f>-0.4*0.8*(210000*1/3-270000*1/3)</f>
        <v>6400.0000000000009</v>
      </c>
    </row>
    <row r="87" spans="1:3">
      <c r="B87" s="132"/>
      <c r="C87" s="113"/>
    </row>
    <row r="88" spans="1:3">
      <c r="A88" s="111">
        <v>5</v>
      </c>
      <c r="B88" s="238" t="s">
        <v>187</v>
      </c>
      <c r="C88" s="238"/>
    </row>
    <row r="89" spans="1:3">
      <c r="A89" s="111"/>
      <c r="B89" s="132" t="s">
        <v>188</v>
      </c>
      <c r="C89" s="115"/>
    </row>
    <row r="90" spans="1:3">
      <c r="A90" s="111"/>
      <c r="B90" s="131" t="s">
        <v>189</v>
      </c>
      <c r="C90" s="115"/>
    </row>
    <row r="91" spans="1:3">
      <c r="B91" s="132" t="s">
        <v>190</v>
      </c>
      <c r="C91" s="113"/>
    </row>
    <row r="92" spans="1:3">
      <c r="B92" s="131" t="s">
        <v>191</v>
      </c>
      <c r="C92" s="113"/>
    </row>
    <row r="93" spans="1:3">
      <c r="B93" s="131"/>
      <c r="C93" s="113"/>
    </row>
    <row r="94" spans="1:3">
      <c r="A94" s="111">
        <v>6</v>
      </c>
      <c r="B94" s="238" t="s">
        <v>187</v>
      </c>
      <c r="C94" s="238"/>
    </row>
    <row r="95" spans="1:3">
      <c r="A95" s="111"/>
      <c r="B95" s="131" t="s">
        <v>192</v>
      </c>
      <c r="C95" s="113"/>
    </row>
    <row r="96" spans="1:3">
      <c r="B96" s="131" t="s">
        <v>193</v>
      </c>
      <c r="C96" s="113"/>
    </row>
    <row r="97" spans="1:3">
      <c r="B97" s="131" t="s">
        <v>194</v>
      </c>
      <c r="C97" s="113">
        <f>-0.4*0.35*0.7*(45000-37500)</f>
        <v>-734.99999999999989</v>
      </c>
    </row>
    <row r="98" spans="1:3">
      <c r="B98" s="131"/>
      <c r="C98" s="113"/>
    </row>
    <row r="99" spans="1:3">
      <c r="A99" s="111">
        <v>7</v>
      </c>
      <c r="B99" s="238" t="s">
        <v>195</v>
      </c>
      <c r="C99" s="238"/>
    </row>
    <row r="100" spans="1:3">
      <c r="B100" s="133" t="s">
        <v>196</v>
      </c>
      <c r="C100" s="113"/>
    </row>
    <row r="101" spans="1:3">
      <c r="B101" s="133" t="s">
        <v>197</v>
      </c>
      <c r="C101" s="113"/>
    </row>
    <row r="102" spans="1:3">
      <c r="B102" s="238" t="s">
        <v>161</v>
      </c>
      <c r="C102" s="238"/>
    </row>
    <row r="103" spans="1:3">
      <c r="B103" s="112" t="s">
        <v>162</v>
      </c>
      <c r="C103" s="113">
        <f>160000*2750/5000</f>
        <v>88000</v>
      </c>
    </row>
    <row r="104" spans="1:3">
      <c r="B104" s="112" t="s">
        <v>198</v>
      </c>
      <c r="C104" s="118">
        <f>0.4*(110000+140000+100000*3/12-33600)</f>
        <v>96560</v>
      </c>
    </row>
    <row r="105" spans="1:3">
      <c r="B105" s="112" t="s">
        <v>199</v>
      </c>
      <c r="C105" s="116">
        <f>-0.45*(110000+140000+100000*3/12-33600+160000)</f>
        <v>-180630</v>
      </c>
    </row>
    <row r="106" spans="1:3">
      <c r="B106" s="112" t="s">
        <v>164</v>
      </c>
      <c r="C106" s="113">
        <f>SUM(C103:C105)</f>
        <v>3930</v>
      </c>
    </row>
    <row r="107" spans="1:3">
      <c r="B107" s="112"/>
      <c r="C107" s="113"/>
    </row>
    <row r="108" spans="1:3">
      <c r="B108" s="115" t="s">
        <v>165</v>
      </c>
      <c r="C108" s="113"/>
    </row>
    <row r="109" spans="1:3">
      <c r="B109" s="114" t="s">
        <v>200</v>
      </c>
      <c r="C109" s="113">
        <f>22000*0.05</f>
        <v>1100</v>
      </c>
    </row>
    <row r="110" spans="1:3">
      <c r="B110" s="114" t="s">
        <v>167</v>
      </c>
      <c r="C110" s="113">
        <f>-C109*0.3</f>
        <v>-330</v>
      </c>
    </row>
    <row r="111" spans="1:3">
      <c r="B111" s="112" t="s">
        <v>170</v>
      </c>
      <c r="C111" s="116">
        <f>C112-SUM(C109:C110)</f>
        <v>3160</v>
      </c>
    </row>
    <row r="112" spans="1:3">
      <c r="B112" s="111" t="s">
        <v>164</v>
      </c>
      <c r="C112" s="117">
        <f>C106</f>
        <v>3930</v>
      </c>
    </row>
    <row r="113" spans="2:3">
      <c r="B113" s="112"/>
      <c r="C113" s="112"/>
    </row>
    <row r="114" spans="2:3">
      <c r="B114" s="112"/>
      <c r="C114" s="112"/>
    </row>
    <row r="115" spans="2:3">
      <c r="B115" s="112"/>
      <c r="C115" s="112"/>
    </row>
    <row r="116" spans="2:3">
      <c r="B116" s="112"/>
      <c r="C116" s="112"/>
    </row>
    <row r="117" spans="2:3">
      <c r="B117" s="112"/>
      <c r="C117" s="112"/>
    </row>
    <row r="118" spans="2:3">
      <c r="B118" s="112"/>
      <c r="C118" s="112"/>
    </row>
    <row r="119" spans="2:3">
      <c r="B119" s="112"/>
      <c r="C119" s="112"/>
    </row>
    <row r="120" spans="2:3">
      <c r="B120" s="112"/>
      <c r="C120" s="112"/>
    </row>
    <row r="121" spans="2:3">
      <c r="B121" s="112"/>
      <c r="C121" s="112"/>
    </row>
    <row r="122" spans="2:3">
      <c r="B122" s="112"/>
      <c r="C122" s="112"/>
    </row>
    <row r="123" spans="2:3">
      <c r="B123" s="112"/>
      <c r="C123" s="112"/>
    </row>
    <row r="124" spans="2:3">
      <c r="B124" s="112"/>
      <c r="C124" s="112"/>
    </row>
    <row r="125" spans="2:3">
      <c r="B125" s="112"/>
      <c r="C125" s="112"/>
    </row>
    <row r="126" spans="2:3">
      <c r="B126" s="112"/>
      <c r="C126" s="112"/>
    </row>
    <row r="127" spans="2:3">
      <c r="B127" s="112"/>
      <c r="C127" s="112"/>
    </row>
    <row r="128" spans="2:3">
      <c r="B128" s="112"/>
      <c r="C128" s="112"/>
    </row>
    <row r="129" spans="2:3">
      <c r="B129" s="112"/>
      <c r="C129" s="112"/>
    </row>
    <row r="130" spans="2:3">
      <c r="B130" s="112"/>
      <c r="C130" s="112"/>
    </row>
    <row r="131" spans="2:3">
      <c r="B131" s="112"/>
      <c r="C131" s="112"/>
    </row>
    <row r="132" spans="2:3">
      <c r="B132" s="112"/>
      <c r="C132" s="112"/>
    </row>
    <row r="133" spans="2:3">
      <c r="B133" s="112"/>
      <c r="C133" s="112"/>
    </row>
    <row r="134" spans="2:3">
      <c r="B134" s="112"/>
      <c r="C134" s="112"/>
    </row>
  </sheetData>
  <mergeCells count="12">
    <mergeCell ref="B102:C102"/>
    <mergeCell ref="B2:C2"/>
    <mergeCell ref="B36:C36"/>
    <mergeCell ref="B43:C43"/>
    <mergeCell ref="B45:C45"/>
    <mergeCell ref="B50:C50"/>
    <mergeCell ref="B67:C67"/>
    <mergeCell ref="B71:C71"/>
    <mergeCell ref="B80:C80"/>
    <mergeCell ref="B88:C88"/>
    <mergeCell ref="B94:C94"/>
    <mergeCell ref="B99:C99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6"/>
  <sheetViews>
    <sheetView rightToLeft="1" workbookViewId="0">
      <selection activeCell="C44" sqref="C44"/>
    </sheetView>
  </sheetViews>
  <sheetFormatPr defaultRowHeight="12.75"/>
  <cols>
    <col min="1" max="1" width="9.140625" style="43"/>
    <col min="2" max="2" width="28.140625" style="43" customWidth="1"/>
    <col min="3" max="3" width="21.42578125" style="43" customWidth="1"/>
    <col min="4" max="4" width="10.28515625" style="43" customWidth="1"/>
    <col min="5" max="257" width="9.140625" style="43"/>
    <col min="258" max="258" width="28.140625" style="43" customWidth="1"/>
    <col min="259" max="259" width="21.42578125" style="43" customWidth="1"/>
    <col min="260" max="513" width="9.140625" style="43"/>
    <col min="514" max="514" width="28.140625" style="43" customWidth="1"/>
    <col min="515" max="515" width="21.42578125" style="43" customWidth="1"/>
    <col min="516" max="769" width="9.140625" style="43"/>
    <col min="770" max="770" width="28.140625" style="43" customWidth="1"/>
    <col min="771" max="771" width="21.42578125" style="43" customWidth="1"/>
    <col min="772" max="1025" width="9.140625" style="43"/>
    <col min="1026" max="1026" width="28.140625" style="43" customWidth="1"/>
    <col min="1027" max="1027" width="21.42578125" style="43" customWidth="1"/>
    <col min="1028" max="1281" width="9.140625" style="43"/>
    <col min="1282" max="1282" width="28.140625" style="43" customWidth="1"/>
    <col min="1283" max="1283" width="21.42578125" style="43" customWidth="1"/>
    <col min="1284" max="1537" width="9.140625" style="43"/>
    <col min="1538" max="1538" width="28.140625" style="43" customWidth="1"/>
    <col min="1539" max="1539" width="21.42578125" style="43" customWidth="1"/>
    <col min="1540" max="1793" width="9.140625" style="43"/>
    <col min="1794" max="1794" width="28.140625" style="43" customWidth="1"/>
    <col min="1795" max="1795" width="21.42578125" style="43" customWidth="1"/>
    <col min="1796" max="2049" width="9.140625" style="43"/>
    <col min="2050" max="2050" width="28.140625" style="43" customWidth="1"/>
    <col min="2051" max="2051" width="21.42578125" style="43" customWidth="1"/>
    <col min="2052" max="2305" width="9.140625" style="43"/>
    <col min="2306" max="2306" width="28.140625" style="43" customWidth="1"/>
    <col min="2307" max="2307" width="21.42578125" style="43" customWidth="1"/>
    <col min="2308" max="2561" width="9.140625" style="43"/>
    <col min="2562" max="2562" width="28.140625" style="43" customWidth="1"/>
    <col min="2563" max="2563" width="21.42578125" style="43" customWidth="1"/>
    <col min="2564" max="2817" width="9.140625" style="43"/>
    <col min="2818" max="2818" width="28.140625" style="43" customWidth="1"/>
    <col min="2819" max="2819" width="21.42578125" style="43" customWidth="1"/>
    <col min="2820" max="3073" width="9.140625" style="43"/>
    <col min="3074" max="3074" width="28.140625" style="43" customWidth="1"/>
    <col min="3075" max="3075" width="21.42578125" style="43" customWidth="1"/>
    <col min="3076" max="3329" width="9.140625" style="43"/>
    <col min="3330" max="3330" width="28.140625" style="43" customWidth="1"/>
    <col min="3331" max="3331" width="21.42578125" style="43" customWidth="1"/>
    <col min="3332" max="3585" width="9.140625" style="43"/>
    <col min="3586" max="3586" width="28.140625" style="43" customWidth="1"/>
    <col min="3587" max="3587" width="21.42578125" style="43" customWidth="1"/>
    <col min="3588" max="3841" width="9.140625" style="43"/>
    <col min="3842" max="3842" width="28.140625" style="43" customWidth="1"/>
    <col min="3843" max="3843" width="21.42578125" style="43" customWidth="1"/>
    <col min="3844" max="4097" width="9.140625" style="43"/>
    <col min="4098" max="4098" width="28.140625" style="43" customWidth="1"/>
    <col min="4099" max="4099" width="21.42578125" style="43" customWidth="1"/>
    <col min="4100" max="4353" width="9.140625" style="43"/>
    <col min="4354" max="4354" width="28.140625" style="43" customWidth="1"/>
    <col min="4355" max="4355" width="21.42578125" style="43" customWidth="1"/>
    <col min="4356" max="4609" width="9.140625" style="43"/>
    <col min="4610" max="4610" width="28.140625" style="43" customWidth="1"/>
    <col min="4611" max="4611" width="21.42578125" style="43" customWidth="1"/>
    <col min="4612" max="4865" width="9.140625" style="43"/>
    <col min="4866" max="4866" width="28.140625" style="43" customWidth="1"/>
    <col min="4867" max="4867" width="21.42578125" style="43" customWidth="1"/>
    <col min="4868" max="5121" width="9.140625" style="43"/>
    <col min="5122" max="5122" width="28.140625" style="43" customWidth="1"/>
    <col min="5123" max="5123" width="21.42578125" style="43" customWidth="1"/>
    <col min="5124" max="5377" width="9.140625" style="43"/>
    <col min="5378" max="5378" width="28.140625" style="43" customWidth="1"/>
    <col min="5379" max="5379" width="21.42578125" style="43" customWidth="1"/>
    <col min="5380" max="5633" width="9.140625" style="43"/>
    <col min="5634" max="5634" width="28.140625" style="43" customWidth="1"/>
    <col min="5635" max="5635" width="21.42578125" style="43" customWidth="1"/>
    <col min="5636" max="5889" width="9.140625" style="43"/>
    <col min="5890" max="5890" width="28.140625" style="43" customWidth="1"/>
    <col min="5891" max="5891" width="21.42578125" style="43" customWidth="1"/>
    <col min="5892" max="6145" width="9.140625" style="43"/>
    <col min="6146" max="6146" width="28.140625" style="43" customWidth="1"/>
    <col min="6147" max="6147" width="21.42578125" style="43" customWidth="1"/>
    <col min="6148" max="6401" width="9.140625" style="43"/>
    <col min="6402" max="6402" width="28.140625" style="43" customWidth="1"/>
    <col min="6403" max="6403" width="21.42578125" style="43" customWidth="1"/>
    <col min="6404" max="6657" width="9.140625" style="43"/>
    <col min="6658" max="6658" width="28.140625" style="43" customWidth="1"/>
    <col min="6659" max="6659" width="21.42578125" style="43" customWidth="1"/>
    <col min="6660" max="6913" width="9.140625" style="43"/>
    <col min="6914" max="6914" width="28.140625" style="43" customWidth="1"/>
    <col min="6915" max="6915" width="21.42578125" style="43" customWidth="1"/>
    <col min="6916" max="7169" width="9.140625" style="43"/>
    <col min="7170" max="7170" width="28.140625" style="43" customWidth="1"/>
    <col min="7171" max="7171" width="21.42578125" style="43" customWidth="1"/>
    <col min="7172" max="7425" width="9.140625" style="43"/>
    <col min="7426" max="7426" width="28.140625" style="43" customWidth="1"/>
    <col min="7427" max="7427" width="21.42578125" style="43" customWidth="1"/>
    <col min="7428" max="7681" width="9.140625" style="43"/>
    <col min="7682" max="7682" width="28.140625" style="43" customWidth="1"/>
    <col min="7683" max="7683" width="21.42578125" style="43" customWidth="1"/>
    <col min="7684" max="7937" width="9.140625" style="43"/>
    <col min="7938" max="7938" width="28.140625" style="43" customWidth="1"/>
    <col min="7939" max="7939" width="21.42578125" style="43" customWidth="1"/>
    <col min="7940" max="8193" width="9.140625" style="43"/>
    <col min="8194" max="8194" width="28.140625" style="43" customWidth="1"/>
    <col min="8195" max="8195" width="21.42578125" style="43" customWidth="1"/>
    <col min="8196" max="8449" width="9.140625" style="43"/>
    <col min="8450" max="8450" width="28.140625" style="43" customWidth="1"/>
    <col min="8451" max="8451" width="21.42578125" style="43" customWidth="1"/>
    <col min="8452" max="8705" width="9.140625" style="43"/>
    <col min="8706" max="8706" width="28.140625" style="43" customWidth="1"/>
    <col min="8707" max="8707" width="21.42578125" style="43" customWidth="1"/>
    <col min="8708" max="8961" width="9.140625" style="43"/>
    <col min="8962" max="8962" width="28.140625" style="43" customWidth="1"/>
    <col min="8963" max="8963" width="21.42578125" style="43" customWidth="1"/>
    <col min="8964" max="9217" width="9.140625" style="43"/>
    <col min="9218" max="9218" width="28.140625" style="43" customWidth="1"/>
    <col min="9219" max="9219" width="21.42578125" style="43" customWidth="1"/>
    <col min="9220" max="9473" width="9.140625" style="43"/>
    <col min="9474" max="9474" width="28.140625" style="43" customWidth="1"/>
    <col min="9475" max="9475" width="21.42578125" style="43" customWidth="1"/>
    <col min="9476" max="9729" width="9.140625" style="43"/>
    <col min="9730" max="9730" width="28.140625" style="43" customWidth="1"/>
    <col min="9731" max="9731" width="21.42578125" style="43" customWidth="1"/>
    <col min="9732" max="9985" width="9.140625" style="43"/>
    <col min="9986" max="9986" width="28.140625" style="43" customWidth="1"/>
    <col min="9987" max="9987" width="21.42578125" style="43" customWidth="1"/>
    <col min="9988" max="10241" width="9.140625" style="43"/>
    <col min="10242" max="10242" width="28.140625" style="43" customWidth="1"/>
    <col min="10243" max="10243" width="21.42578125" style="43" customWidth="1"/>
    <col min="10244" max="10497" width="9.140625" style="43"/>
    <col min="10498" max="10498" width="28.140625" style="43" customWidth="1"/>
    <col min="10499" max="10499" width="21.42578125" style="43" customWidth="1"/>
    <col min="10500" max="10753" width="9.140625" style="43"/>
    <col min="10754" max="10754" width="28.140625" style="43" customWidth="1"/>
    <col min="10755" max="10755" width="21.42578125" style="43" customWidth="1"/>
    <col min="10756" max="11009" width="9.140625" style="43"/>
    <col min="11010" max="11010" width="28.140625" style="43" customWidth="1"/>
    <col min="11011" max="11011" width="21.42578125" style="43" customWidth="1"/>
    <col min="11012" max="11265" width="9.140625" style="43"/>
    <col min="11266" max="11266" width="28.140625" style="43" customWidth="1"/>
    <col min="11267" max="11267" width="21.42578125" style="43" customWidth="1"/>
    <col min="11268" max="11521" width="9.140625" style="43"/>
    <col min="11522" max="11522" width="28.140625" style="43" customWidth="1"/>
    <col min="11523" max="11523" width="21.42578125" style="43" customWidth="1"/>
    <col min="11524" max="11777" width="9.140625" style="43"/>
    <col min="11778" max="11778" width="28.140625" style="43" customWidth="1"/>
    <col min="11779" max="11779" width="21.42578125" style="43" customWidth="1"/>
    <col min="11780" max="12033" width="9.140625" style="43"/>
    <col min="12034" max="12034" width="28.140625" style="43" customWidth="1"/>
    <col min="12035" max="12035" width="21.42578125" style="43" customWidth="1"/>
    <col min="12036" max="12289" width="9.140625" style="43"/>
    <col min="12290" max="12290" width="28.140625" style="43" customWidth="1"/>
    <col min="12291" max="12291" width="21.42578125" style="43" customWidth="1"/>
    <col min="12292" max="12545" width="9.140625" style="43"/>
    <col min="12546" max="12546" width="28.140625" style="43" customWidth="1"/>
    <col min="12547" max="12547" width="21.42578125" style="43" customWidth="1"/>
    <col min="12548" max="12801" width="9.140625" style="43"/>
    <col min="12802" max="12802" width="28.140625" style="43" customWidth="1"/>
    <col min="12803" max="12803" width="21.42578125" style="43" customWidth="1"/>
    <col min="12804" max="13057" width="9.140625" style="43"/>
    <col min="13058" max="13058" width="28.140625" style="43" customWidth="1"/>
    <col min="13059" max="13059" width="21.42578125" style="43" customWidth="1"/>
    <col min="13060" max="13313" width="9.140625" style="43"/>
    <col min="13314" max="13314" width="28.140625" style="43" customWidth="1"/>
    <col min="13315" max="13315" width="21.42578125" style="43" customWidth="1"/>
    <col min="13316" max="13569" width="9.140625" style="43"/>
    <col min="13570" max="13570" width="28.140625" style="43" customWidth="1"/>
    <col min="13571" max="13571" width="21.42578125" style="43" customWidth="1"/>
    <col min="13572" max="13825" width="9.140625" style="43"/>
    <col min="13826" max="13826" width="28.140625" style="43" customWidth="1"/>
    <col min="13827" max="13827" width="21.42578125" style="43" customWidth="1"/>
    <col min="13828" max="14081" width="9.140625" style="43"/>
    <col min="14082" max="14082" width="28.140625" style="43" customWidth="1"/>
    <col min="14083" max="14083" width="21.42578125" style="43" customWidth="1"/>
    <col min="14084" max="14337" width="9.140625" style="43"/>
    <col min="14338" max="14338" width="28.140625" style="43" customWidth="1"/>
    <col min="14339" max="14339" width="21.42578125" style="43" customWidth="1"/>
    <col min="14340" max="14593" width="9.140625" style="43"/>
    <col min="14594" max="14594" width="28.140625" style="43" customWidth="1"/>
    <col min="14595" max="14595" width="21.42578125" style="43" customWidth="1"/>
    <col min="14596" max="14849" width="9.140625" style="43"/>
    <col min="14850" max="14850" width="28.140625" style="43" customWidth="1"/>
    <col min="14851" max="14851" width="21.42578125" style="43" customWidth="1"/>
    <col min="14852" max="15105" width="9.140625" style="43"/>
    <col min="15106" max="15106" width="28.140625" style="43" customWidth="1"/>
    <col min="15107" max="15107" width="21.42578125" style="43" customWidth="1"/>
    <col min="15108" max="15361" width="9.140625" style="43"/>
    <col min="15362" max="15362" width="28.140625" style="43" customWidth="1"/>
    <col min="15363" max="15363" width="21.42578125" style="43" customWidth="1"/>
    <col min="15364" max="15617" width="9.140625" style="43"/>
    <col min="15618" max="15618" width="28.140625" style="43" customWidth="1"/>
    <col min="15619" max="15619" width="21.42578125" style="43" customWidth="1"/>
    <col min="15620" max="15873" width="9.140625" style="43"/>
    <col min="15874" max="15874" width="28.140625" style="43" customWidth="1"/>
    <col min="15875" max="15875" width="21.42578125" style="43" customWidth="1"/>
    <col min="15876" max="16129" width="9.140625" style="43"/>
    <col min="16130" max="16130" width="28.140625" style="43" customWidth="1"/>
    <col min="16131" max="16131" width="21.42578125" style="43" customWidth="1"/>
    <col min="16132" max="16384" width="9.140625" style="43"/>
  </cols>
  <sheetData>
    <row r="2" spans="1:3">
      <c r="A2" s="110" t="s">
        <v>132</v>
      </c>
      <c r="B2" s="239" t="s">
        <v>201</v>
      </c>
      <c r="C2" s="239"/>
    </row>
    <row r="3" spans="1:3">
      <c r="A3" s="111">
        <v>1</v>
      </c>
      <c r="B3" s="112" t="s">
        <v>202</v>
      </c>
      <c r="C3" s="113">
        <v>270000</v>
      </c>
    </row>
    <row r="4" spans="1:3">
      <c r="A4" s="111">
        <v>2</v>
      </c>
      <c r="B4" s="112" t="s">
        <v>203</v>
      </c>
      <c r="C4" s="113">
        <f>B84</f>
        <v>-8574.9999999999982</v>
      </c>
    </row>
    <row r="5" spans="1:3">
      <c r="A5" s="111"/>
      <c r="B5" s="112" t="s">
        <v>204</v>
      </c>
      <c r="C5" s="113">
        <f>75000*0.35*6/12</f>
        <v>13125</v>
      </c>
    </row>
    <row r="6" spans="1:3">
      <c r="A6" s="111">
        <v>3</v>
      </c>
      <c r="B6" s="112" t="s">
        <v>205</v>
      </c>
      <c r="C6" s="113">
        <f>C91</f>
        <v>2940</v>
      </c>
    </row>
    <row r="7" spans="1:3">
      <c r="A7" s="111"/>
      <c r="B7" s="112" t="s">
        <v>206</v>
      </c>
      <c r="C7" s="113">
        <f>-3500*0.7/4</f>
        <v>-612.5</v>
      </c>
    </row>
    <row r="8" spans="1:3">
      <c r="A8" s="111"/>
      <c r="B8" s="112" t="s">
        <v>207</v>
      </c>
      <c r="C8" s="113">
        <f>8575*1/3.5*6/12</f>
        <v>1225</v>
      </c>
    </row>
    <row r="9" spans="1:3">
      <c r="A9" s="111">
        <v>4</v>
      </c>
      <c r="B9" s="112" t="s">
        <v>208</v>
      </c>
      <c r="C9" s="118">
        <f>-(65000-100000*4.5/8)*0.35*0.75</f>
        <v>-2296.875</v>
      </c>
    </row>
    <row r="10" spans="1:3">
      <c r="A10" s="111"/>
      <c r="B10" s="112" t="s">
        <v>209</v>
      </c>
      <c r="C10" s="118">
        <f>2297*1/4.5*3/12</f>
        <v>127.61111111111113</v>
      </c>
    </row>
    <row r="11" spans="1:3">
      <c r="A11" s="111">
        <v>5</v>
      </c>
      <c r="B11" s="112" t="s">
        <v>210</v>
      </c>
      <c r="C11" s="116">
        <f>F102</f>
        <v>2800</v>
      </c>
    </row>
    <row r="12" spans="1:3">
      <c r="A12" s="111"/>
      <c r="B12" s="111" t="s">
        <v>145</v>
      </c>
      <c r="C12" s="117">
        <f>SUM(C3:C11)</f>
        <v>278733.23611111112</v>
      </c>
    </row>
    <row r="13" spans="1:3">
      <c r="A13" s="111"/>
      <c r="B13" s="112" t="s">
        <v>211</v>
      </c>
      <c r="C13" s="113">
        <f>-30000*0.35*6/12</f>
        <v>-5250</v>
      </c>
    </row>
    <row r="14" spans="1:3">
      <c r="A14" s="111"/>
      <c r="B14" s="112" t="s">
        <v>205</v>
      </c>
      <c r="C14" s="113">
        <v>0</v>
      </c>
    </row>
    <row r="15" spans="1:3">
      <c r="A15" s="111">
        <v>6</v>
      </c>
      <c r="B15" s="112" t="s">
        <v>206</v>
      </c>
      <c r="C15" s="113">
        <f>-(3500*0.7-613)</f>
        <v>-1837</v>
      </c>
    </row>
    <row r="16" spans="1:3">
      <c r="A16" s="111"/>
      <c r="B16" s="112" t="s">
        <v>207</v>
      </c>
      <c r="C16" s="113">
        <f>8575*1/3.5*6/12</f>
        <v>1225</v>
      </c>
    </row>
    <row r="17" spans="1:3">
      <c r="A17" s="111"/>
      <c r="B17" s="112" t="s">
        <v>209</v>
      </c>
      <c r="C17" s="118">
        <f>2297*1/4.5*6/12</f>
        <v>255.22222222222226</v>
      </c>
    </row>
    <row r="18" spans="1:3">
      <c r="A18" s="111">
        <v>7</v>
      </c>
      <c r="B18" s="112" t="s">
        <v>212</v>
      </c>
      <c r="C18" s="113">
        <f>-0.4*0.35*0.7*(35000-40000*3/4)</f>
        <v>-489.99999999999994</v>
      </c>
    </row>
    <row r="19" spans="1:3">
      <c r="A19" s="111">
        <v>5</v>
      </c>
      <c r="B19" s="112" t="s">
        <v>210</v>
      </c>
      <c r="C19" s="116">
        <f>F104</f>
        <v>-4200</v>
      </c>
    </row>
    <row r="20" spans="1:3">
      <c r="A20" s="111"/>
      <c r="B20" s="111" t="s">
        <v>213</v>
      </c>
      <c r="C20" s="117">
        <f>SUM(C12:C19)</f>
        <v>268436.45833333337</v>
      </c>
    </row>
    <row r="21" spans="1:3">
      <c r="A21" s="111">
        <v>8</v>
      </c>
      <c r="B21" s="112" t="s">
        <v>149</v>
      </c>
      <c r="C21" s="116">
        <f>C22-C20</f>
        <v>45307.94642857142</v>
      </c>
    </row>
    <row r="22" spans="1:3">
      <c r="A22" s="111"/>
      <c r="B22" s="111" t="s">
        <v>214</v>
      </c>
      <c r="C22" s="117">
        <f>C140</f>
        <v>313744.40476190479</v>
      </c>
    </row>
    <row r="23" spans="1:3">
      <c r="A23" s="111"/>
      <c r="B23" s="114" t="s">
        <v>215</v>
      </c>
      <c r="C23" s="118">
        <f>-30000*0.3*6/12</f>
        <v>-4500</v>
      </c>
    </row>
    <row r="24" spans="1:3">
      <c r="A24" s="111"/>
      <c r="B24" s="114" t="s">
        <v>205</v>
      </c>
      <c r="C24" s="118">
        <f>900*0.7</f>
        <v>630</v>
      </c>
    </row>
    <row r="25" spans="1:3">
      <c r="A25" s="111"/>
      <c r="B25" s="114" t="s">
        <v>207</v>
      </c>
      <c r="C25" s="118">
        <f>5250/2.5*0.5</f>
        <v>1050</v>
      </c>
    </row>
    <row r="26" spans="1:3">
      <c r="A26" s="111"/>
      <c r="B26" s="114" t="s">
        <v>209</v>
      </c>
      <c r="C26" s="118">
        <f>2297*1/4.5*6/12</f>
        <v>255.22222222222226</v>
      </c>
    </row>
    <row r="27" spans="1:3">
      <c r="A27" s="111"/>
      <c r="B27" s="114" t="s">
        <v>216</v>
      </c>
      <c r="C27" s="118">
        <f>-0.3*0.7*(300000-230000)</f>
        <v>-14700</v>
      </c>
    </row>
    <row r="28" spans="1:3">
      <c r="A28" s="111"/>
      <c r="B28" s="114" t="s">
        <v>217</v>
      </c>
      <c r="C28" s="118">
        <f>14700*1/15*6/12</f>
        <v>490</v>
      </c>
    </row>
    <row r="29" spans="1:3">
      <c r="A29" s="111"/>
      <c r="B29" s="114" t="s">
        <v>210</v>
      </c>
      <c r="C29" s="116">
        <f>F106</f>
        <v>2400</v>
      </c>
    </row>
    <row r="30" spans="1:3">
      <c r="A30" s="111"/>
      <c r="B30" s="111" t="s">
        <v>153</v>
      </c>
      <c r="C30" s="117">
        <f>SUM(C22:C29)</f>
        <v>299369.62698412704</v>
      </c>
    </row>
    <row r="31" spans="1:3">
      <c r="A31" s="111"/>
      <c r="B31" s="114" t="s">
        <v>135</v>
      </c>
      <c r="C31" s="118">
        <f>80000*0.3</f>
        <v>24000</v>
      </c>
    </row>
    <row r="32" spans="1:3">
      <c r="A32" s="111"/>
      <c r="B32" s="114" t="s">
        <v>207</v>
      </c>
      <c r="C32" s="118">
        <f>5250/2.5</f>
        <v>2100</v>
      </c>
    </row>
    <row r="33" spans="1:3">
      <c r="A33" s="111"/>
      <c r="B33" s="114" t="s">
        <v>209</v>
      </c>
      <c r="C33" s="118">
        <f>2297*1/4.5</f>
        <v>510.44444444444446</v>
      </c>
    </row>
    <row r="34" spans="1:3">
      <c r="A34" s="111"/>
      <c r="B34" s="114" t="s">
        <v>217</v>
      </c>
      <c r="C34" s="118">
        <f>14700*1/15</f>
        <v>980</v>
      </c>
    </row>
    <row r="35" spans="1:3">
      <c r="A35" s="111"/>
      <c r="B35" s="114" t="s">
        <v>210</v>
      </c>
      <c r="C35" s="116">
        <f>F108</f>
        <v>3600</v>
      </c>
    </row>
    <row r="36" spans="1:3">
      <c r="A36" s="111"/>
      <c r="B36" s="111" t="s">
        <v>155</v>
      </c>
      <c r="C36" s="117">
        <f>SUM(C30:C35)</f>
        <v>330560.07142857148</v>
      </c>
    </row>
    <row r="37" spans="1:3">
      <c r="A37" s="111">
        <v>9</v>
      </c>
      <c r="B37" s="112" t="s">
        <v>218</v>
      </c>
      <c r="C37" s="113">
        <f>-C158</f>
        <v>-332198.57142857148</v>
      </c>
    </row>
    <row r="38" spans="1:3">
      <c r="A38" s="111">
        <v>9</v>
      </c>
      <c r="B38" s="112" t="s">
        <v>219</v>
      </c>
      <c r="C38" s="116">
        <f>C161+C165</f>
        <v>1638.5</v>
      </c>
    </row>
    <row r="39" spans="1:3">
      <c r="A39" s="111"/>
      <c r="B39" s="112"/>
      <c r="C39" s="116">
        <f>SUM(C36:C38)</f>
        <v>0</v>
      </c>
    </row>
    <row r="40" spans="1:3">
      <c r="A40" s="111"/>
      <c r="B40" s="111"/>
      <c r="C40" s="117"/>
    </row>
    <row r="41" spans="1:3">
      <c r="A41" s="111"/>
      <c r="B41" s="111"/>
      <c r="C41" s="117"/>
    </row>
    <row r="42" spans="1:3">
      <c r="A42" s="111">
        <v>9</v>
      </c>
      <c r="B42" s="239" t="s">
        <v>220</v>
      </c>
      <c r="C42" s="239"/>
    </row>
    <row r="43" spans="1:3">
      <c r="A43" s="111"/>
      <c r="B43" s="134"/>
      <c r="C43" s="117"/>
    </row>
    <row r="44" spans="1:3">
      <c r="A44" s="111"/>
      <c r="B44" s="132" t="s">
        <v>221</v>
      </c>
      <c r="C44" s="118">
        <v>400000</v>
      </c>
    </row>
    <row r="45" spans="1:3">
      <c r="A45" s="111"/>
      <c r="B45" s="132" t="s">
        <v>222</v>
      </c>
      <c r="C45" s="118">
        <f>C36+C154+C155</f>
        <v>332198.57142857148</v>
      </c>
    </row>
    <row r="46" spans="1:3">
      <c r="A46" s="111"/>
      <c r="B46" s="132" t="s">
        <v>223</v>
      </c>
      <c r="C46" s="118">
        <f>C44-C45</f>
        <v>67801.428571428522</v>
      </c>
    </row>
    <row r="47" spans="1:3">
      <c r="A47" s="111"/>
      <c r="B47" s="132"/>
      <c r="C47" s="118"/>
    </row>
    <row r="48" spans="1:3">
      <c r="A48" s="111"/>
      <c r="B48" s="132" t="s">
        <v>224</v>
      </c>
      <c r="C48" s="118">
        <f>C109*0.3</f>
        <v>4800</v>
      </c>
    </row>
    <row r="49" spans="1:5">
      <c r="A49" s="111"/>
      <c r="B49" s="132" t="s">
        <v>223</v>
      </c>
      <c r="C49" s="118">
        <f>C48</f>
        <v>4800</v>
      </c>
    </row>
    <row r="50" spans="1:5">
      <c r="A50" s="111"/>
      <c r="B50" s="132"/>
      <c r="C50" s="118"/>
    </row>
    <row r="51" spans="1:5">
      <c r="A51" s="111"/>
      <c r="B51" s="132"/>
      <c r="C51" s="118"/>
    </row>
    <row r="52" spans="1:5">
      <c r="A52" s="111"/>
      <c r="B52" s="132" t="s">
        <v>225</v>
      </c>
      <c r="C52" s="118">
        <f>C154</f>
        <v>1148.5</v>
      </c>
    </row>
    <row r="53" spans="1:5">
      <c r="A53" s="111"/>
      <c r="B53" s="132" t="s">
        <v>226</v>
      </c>
      <c r="C53" s="118">
        <f>C52/0.75</f>
        <v>1531.3333333333333</v>
      </c>
    </row>
    <row r="54" spans="1:5">
      <c r="A54" s="111"/>
      <c r="B54" s="132" t="s">
        <v>227</v>
      </c>
      <c r="C54" s="118">
        <f>C53-C52</f>
        <v>382.83333333333326</v>
      </c>
    </row>
    <row r="55" spans="1:5">
      <c r="A55" s="111"/>
      <c r="B55" s="132"/>
      <c r="C55" s="118"/>
    </row>
    <row r="56" spans="1:5">
      <c r="A56" s="111"/>
      <c r="B56" s="132" t="s">
        <v>225</v>
      </c>
      <c r="C56" s="118">
        <f>C165</f>
        <v>490</v>
      </c>
    </row>
    <row r="57" spans="1:5">
      <c r="A57" s="111"/>
      <c r="B57" s="132" t="s">
        <v>228</v>
      </c>
      <c r="C57" s="118">
        <f>C56</f>
        <v>490</v>
      </c>
    </row>
    <row r="58" spans="1:5">
      <c r="A58" s="111"/>
      <c r="B58" s="134"/>
      <c r="C58" s="117"/>
    </row>
    <row r="59" spans="1:5">
      <c r="A59" s="111"/>
      <c r="B59" s="240" t="s">
        <v>156</v>
      </c>
      <c r="C59" s="240"/>
    </row>
    <row r="60" spans="1:5">
      <c r="A60" s="111"/>
      <c r="B60" s="123"/>
      <c r="C60" s="124">
        <v>2013</v>
      </c>
      <c r="D60" s="125">
        <v>2014</v>
      </c>
      <c r="E60" s="125">
        <v>2015</v>
      </c>
    </row>
    <row r="61" spans="1:5">
      <c r="A61" s="111"/>
      <c r="B61" s="126" t="s">
        <v>135</v>
      </c>
      <c r="C61" s="127">
        <f>C4+C5+C6+C7+C8+C9+C10</f>
        <v>5933.2361111111131</v>
      </c>
      <c r="D61" s="127">
        <f>C13+C15+C16+C17+C18+C23+C24+C25+C26+C27+C28</f>
        <v>-22871.555555555555</v>
      </c>
      <c r="E61" s="127">
        <f>C31+C32+C33+C34</f>
        <v>27590.444444444445</v>
      </c>
    </row>
    <row r="62" spans="1:5">
      <c r="A62" s="111"/>
      <c r="B62" s="126" t="s">
        <v>157</v>
      </c>
      <c r="C62" s="127">
        <f>F73</f>
        <v>35000</v>
      </c>
      <c r="D62" s="126">
        <v>0</v>
      </c>
      <c r="E62" s="127">
        <f>C46+C49</f>
        <v>72601.428571428522</v>
      </c>
    </row>
    <row r="63" spans="1:5">
      <c r="A63" s="111"/>
      <c r="B63" s="126" t="s">
        <v>158</v>
      </c>
      <c r="C63" s="127">
        <v>0</v>
      </c>
      <c r="D63" s="127">
        <f>C145+C147</f>
        <v>3891.4285714285215</v>
      </c>
      <c r="E63" s="126">
        <v>0</v>
      </c>
    </row>
    <row r="64" spans="1:5">
      <c r="A64" s="111"/>
      <c r="B64" s="114"/>
      <c r="C64" s="118"/>
      <c r="D64" s="16"/>
      <c r="E64" s="16"/>
    </row>
    <row r="65" spans="1:6">
      <c r="B65" s="112"/>
      <c r="C65" s="113"/>
    </row>
    <row r="66" spans="1:6">
      <c r="B66" s="239" t="s">
        <v>132</v>
      </c>
      <c r="C66" s="239"/>
    </row>
    <row r="67" spans="1:6">
      <c r="B67" s="112"/>
      <c r="C67" s="113"/>
    </row>
    <row r="68" spans="1:6">
      <c r="A68" s="111">
        <v>1</v>
      </c>
      <c r="B68" s="238" t="s">
        <v>161</v>
      </c>
      <c r="C68" s="238"/>
    </row>
    <row r="69" spans="1:6">
      <c r="A69" s="111"/>
      <c r="B69" s="112" t="s">
        <v>162</v>
      </c>
      <c r="C69" s="113">
        <f>210000+60000</f>
        <v>270000</v>
      </c>
      <c r="E69" s="43" t="s">
        <v>229</v>
      </c>
    </row>
    <row r="70" spans="1:6">
      <c r="A70" s="111"/>
      <c r="B70" s="112" t="s">
        <v>163</v>
      </c>
      <c r="C70" s="116">
        <f>-300000*0.35</f>
        <v>-105000</v>
      </c>
      <c r="E70" s="43" t="s">
        <v>230</v>
      </c>
      <c r="F70" s="43">
        <v>270000</v>
      </c>
    </row>
    <row r="71" spans="1:6">
      <c r="A71" s="111"/>
      <c r="B71" s="112" t="s">
        <v>164</v>
      </c>
      <c r="C71" s="113">
        <f>SUM(C69:C70)</f>
        <v>165000</v>
      </c>
      <c r="E71" s="43" t="s">
        <v>231</v>
      </c>
      <c r="F71" s="43">
        <v>210000</v>
      </c>
    </row>
    <row r="72" spans="1:6">
      <c r="A72" s="111"/>
      <c r="B72" s="112"/>
      <c r="C72" s="113"/>
      <c r="E72" s="43" t="s">
        <v>232</v>
      </c>
      <c r="F72" s="43">
        <v>25000</v>
      </c>
    </row>
    <row r="73" spans="1:6">
      <c r="A73" s="111"/>
      <c r="B73" s="115" t="s">
        <v>165</v>
      </c>
      <c r="C73" s="113"/>
      <c r="E73" s="43" t="s">
        <v>223</v>
      </c>
      <c r="F73" s="43">
        <f>F70-F71-F72</f>
        <v>35000</v>
      </c>
    </row>
    <row r="74" spans="1:6">
      <c r="A74" s="111"/>
      <c r="B74" s="112" t="s">
        <v>233</v>
      </c>
      <c r="C74" s="113">
        <f>-(15000-0)*0.35</f>
        <v>-5250</v>
      </c>
    </row>
    <row r="75" spans="1:6">
      <c r="A75" s="111"/>
      <c r="B75" s="112" t="s">
        <v>167</v>
      </c>
      <c r="C75" s="113">
        <f>-C74*0.3</f>
        <v>1575</v>
      </c>
    </row>
    <row r="76" spans="1:6">
      <c r="A76" s="111"/>
      <c r="B76" s="112" t="s">
        <v>234</v>
      </c>
      <c r="C76" s="113">
        <f>(40000-30000)*0.35</f>
        <v>3500</v>
      </c>
    </row>
    <row r="77" spans="1:6">
      <c r="A77" s="111"/>
      <c r="B77" s="112" t="s">
        <v>167</v>
      </c>
      <c r="C77" s="113">
        <f>-C76*0.3</f>
        <v>-1050</v>
      </c>
    </row>
    <row r="78" spans="1:6">
      <c r="A78" s="111"/>
      <c r="B78" s="112" t="s">
        <v>170</v>
      </c>
      <c r="C78" s="116">
        <f>C79-SUM(C74:C77)</f>
        <v>166225</v>
      </c>
    </row>
    <row r="79" spans="1:6">
      <c r="A79" s="111"/>
      <c r="B79" s="111" t="s">
        <v>164</v>
      </c>
      <c r="C79" s="117">
        <f>C71</f>
        <v>165000</v>
      </c>
    </row>
    <row r="80" spans="1:6">
      <c r="A80" s="111"/>
      <c r="B80" s="112"/>
      <c r="C80" s="113"/>
    </row>
    <row r="81" spans="1:3">
      <c r="A81" s="111">
        <v>2</v>
      </c>
      <c r="B81" s="238" t="s">
        <v>235</v>
      </c>
      <c r="C81" s="238"/>
    </row>
    <row r="82" spans="1:3">
      <c r="A82" s="111"/>
      <c r="B82" s="133" t="s">
        <v>236</v>
      </c>
      <c r="C82" s="113"/>
    </row>
    <row r="83" spans="1:3">
      <c r="A83" s="111"/>
      <c r="B83" s="133" t="s">
        <v>237</v>
      </c>
      <c r="C83" s="113"/>
    </row>
    <row r="84" spans="1:3">
      <c r="A84" s="111"/>
      <c r="B84" s="133">
        <f>-0.35*0.7*(60000-25000)</f>
        <v>-8574.9999999999982</v>
      </c>
      <c r="C84" s="113" t="s">
        <v>238</v>
      </c>
    </row>
    <row r="85" spans="1:3">
      <c r="A85" s="111"/>
      <c r="B85" s="133"/>
      <c r="C85" s="112"/>
    </row>
    <row r="86" spans="1:3">
      <c r="A86" s="111">
        <v>3</v>
      </c>
      <c r="B86" s="238" t="s">
        <v>239</v>
      </c>
      <c r="C86" s="238"/>
    </row>
    <row r="87" spans="1:3">
      <c r="A87" s="111"/>
      <c r="B87" s="133" t="s">
        <v>240</v>
      </c>
      <c r="C87" s="112"/>
    </row>
    <row r="88" spans="1:3">
      <c r="A88" s="111"/>
      <c r="B88" s="133" t="s">
        <v>241</v>
      </c>
      <c r="C88" s="113"/>
    </row>
    <row r="89" spans="1:3">
      <c r="A89" s="111"/>
      <c r="B89" s="133"/>
      <c r="C89" s="113"/>
    </row>
    <row r="90" spans="1:3">
      <c r="A90" s="111"/>
      <c r="B90" s="112" t="s">
        <v>242</v>
      </c>
      <c r="C90" s="113">
        <f>C74+C75</f>
        <v>-3675</v>
      </c>
    </row>
    <row r="91" spans="1:3">
      <c r="A91" s="111"/>
      <c r="B91" s="112" t="s">
        <v>5</v>
      </c>
      <c r="C91" s="113">
        <f>C92-C90</f>
        <v>2940</v>
      </c>
    </row>
    <row r="92" spans="1:3">
      <c r="A92" s="111"/>
      <c r="B92" s="112" t="s">
        <v>243</v>
      </c>
      <c r="C92" s="112">
        <f>-(15000-12000)*0.35*0.7</f>
        <v>-735</v>
      </c>
    </row>
    <row r="93" spans="1:3">
      <c r="A93" s="111"/>
    </row>
    <row r="94" spans="1:3">
      <c r="A94" s="111">
        <v>4</v>
      </c>
      <c r="B94" s="238" t="s">
        <v>244</v>
      </c>
      <c r="C94" s="238"/>
    </row>
    <row r="95" spans="1:3">
      <c r="A95" s="111"/>
      <c r="B95" s="43" t="s">
        <v>245</v>
      </c>
    </row>
    <row r="96" spans="1:3">
      <c r="A96" s="111"/>
      <c r="B96" s="133" t="s">
        <v>246</v>
      </c>
    </row>
    <row r="97" spans="1:7">
      <c r="A97" s="111"/>
      <c r="B97" s="133" t="s">
        <v>247</v>
      </c>
    </row>
    <row r="98" spans="1:7">
      <c r="A98" s="111"/>
      <c r="B98" s="135"/>
    </row>
    <row r="99" spans="1:7">
      <c r="A99" s="111">
        <v>5</v>
      </c>
      <c r="B99" s="238" t="s">
        <v>248</v>
      </c>
      <c r="C99" s="238"/>
    </row>
    <row r="100" spans="1:7">
      <c r="A100" s="111"/>
      <c r="B100" s="133"/>
    </row>
    <row r="101" spans="1:7">
      <c r="A101" s="111"/>
      <c r="B101" s="112" t="s">
        <v>242</v>
      </c>
      <c r="C101" s="112">
        <v>0</v>
      </c>
    </row>
    <row r="102" spans="1:7">
      <c r="A102" s="111"/>
      <c r="B102" s="112" t="s">
        <v>5</v>
      </c>
      <c r="C102" s="115">
        <f>C103-C101</f>
        <v>8000</v>
      </c>
      <c r="D102" s="243" t="s">
        <v>249</v>
      </c>
      <c r="E102" s="243"/>
      <c r="F102" s="43">
        <f>C102*0.35</f>
        <v>2800</v>
      </c>
    </row>
    <row r="103" spans="1:7">
      <c r="A103" s="111"/>
      <c r="B103" s="136" t="s">
        <v>177</v>
      </c>
      <c r="C103" s="112">
        <f>5000*(10-8)*0.8</f>
        <v>8000</v>
      </c>
    </row>
    <row r="104" spans="1:7">
      <c r="A104" s="111"/>
      <c r="B104" s="112" t="s">
        <v>5</v>
      </c>
      <c r="C104" s="115">
        <f>C105-C103</f>
        <v>-12000</v>
      </c>
      <c r="D104" s="243" t="s">
        <v>249</v>
      </c>
      <c r="E104" s="243"/>
      <c r="F104" s="43">
        <f t="shared" ref="F104" si="0">C104*0.35</f>
        <v>-4200</v>
      </c>
    </row>
    <row r="105" spans="1:7">
      <c r="A105" s="111"/>
      <c r="B105" s="112" t="s">
        <v>250</v>
      </c>
      <c r="C105" s="112">
        <f>5000*(7-8)*0.8</f>
        <v>-4000</v>
      </c>
      <c r="G105" s="43" t="s">
        <v>251</v>
      </c>
    </row>
    <row r="106" spans="1:7">
      <c r="A106" s="111"/>
      <c r="B106" s="112" t="s">
        <v>5</v>
      </c>
      <c r="C106" s="115">
        <f>C107-C105</f>
        <v>8000</v>
      </c>
      <c r="D106" s="243" t="s">
        <v>252</v>
      </c>
      <c r="E106" s="243"/>
      <c r="F106" s="43">
        <f>C106*0.3</f>
        <v>2400</v>
      </c>
    </row>
    <row r="107" spans="1:7">
      <c r="A107" s="111"/>
      <c r="B107" s="112" t="s">
        <v>253</v>
      </c>
      <c r="C107" s="112">
        <f>5000*(9-8)*0.8</f>
        <v>4000</v>
      </c>
    </row>
    <row r="108" spans="1:7">
      <c r="A108" s="111"/>
      <c r="B108" s="112" t="s">
        <v>5</v>
      </c>
      <c r="C108" s="115">
        <f>C109-C107</f>
        <v>12000</v>
      </c>
      <c r="D108" s="243" t="s">
        <v>252</v>
      </c>
      <c r="E108" s="243"/>
      <c r="F108" s="43">
        <f>C108*0.3</f>
        <v>3600</v>
      </c>
    </row>
    <row r="109" spans="1:7">
      <c r="A109" s="111"/>
      <c r="B109" s="112" t="s">
        <v>254</v>
      </c>
      <c r="C109" s="112">
        <f>5000*(12-8)*0.8</f>
        <v>16000</v>
      </c>
    </row>
    <row r="110" spans="1:7">
      <c r="A110" s="111"/>
      <c r="B110" s="112"/>
      <c r="C110" s="112"/>
    </row>
    <row r="111" spans="1:7">
      <c r="A111" s="111">
        <v>6</v>
      </c>
      <c r="B111" s="242" t="s">
        <v>255</v>
      </c>
      <c r="C111" s="242"/>
    </row>
    <row r="112" spans="1:7">
      <c r="A112" s="111"/>
      <c r="B112" s="131" t="s">
        <v>256</v>
      </c>
      <c r="C112" s="113"/>
    </row>
    <row r="113" spans="1:3">
      <c r="A113" s="111"/>
      <c r="B113" s="131" t="s">
        <v>174</v>
      </c>
      <c r="C113" s="113"/>
    </row>
    <row r="114" spans="1:3">
      <c r="A114" s="111"/>
      <c r="B114" s="131"/>
      <c r="C114" s="113"/>
    </row>
    <row r="115" spans="1:3">
      <c r="A115" s="111">
        <v>7</v>
      </c>
      <c r="B115" s="238" t="s">
        <v>187</v>
      </c>
      <c r="C115" s="241"/>
    </row>
    <row r="116" spans="1:3">
      <c r="A116" s="111"/>
      <c r="B116" s="132" t="s">
        <v>257</v>
      </c>
      <c r="C116" s="113"/>
    </row>
    <row r="117" spans="1:3">
      <c r="A117" s="111"/>
      <c r="B117" s="131"/>
      <c r="C117" s="113"/>
    </row>
    <row r="118" spans="1:3">
      <c r="A118" s="111"/>
    </row>
    <row r="119" spans="1:3">
      <c r="A119" s="111">
        <v>8</v>
      </c>
      <c r="B119" s="238" t="s">
        <v>258</v>
      </c>
      <c r="C119" s="238"/>
    </row>
    <row r="120" spans="1:3">
      <c r="B120" s="133" t="s">
        <v>259</v>
      </c>
    </row>
    <row r="121" spans="1:3">
      <c r="B121" s="133" t="s">
        <v>260</v>
      </c>
    </row>
    <row r="122" spans="1:3">
      <c r="B122" s="238" t="s">
        <v>261</v>
      </c>
      <c r="C122" s="238"/>
    </row>
    <row r="123" spans="1:3">
      <c r="B123" s="133" t="s">
        <v>262</v>
      </c>
      <c r="C123" s="43">
        <f>0.35*(300000+75000*6/12-30000*6/12+8000-12000)</f>
        <v>111475</v>
      </c>
    </row>
    <row r="124" spans="1:3">
      <c r="B124" s="43" t="s">
        <v>233</v>
      </c>
      <c r="C124" s="43">
        <f>-(15000-12000)*0.35</f>
        <v>-1050</v>
      </c>
    </row>
    <row r="125" spans="1:3">
      <c r="B125" s="43" t="s">
        <v>167</v>
      </c>
      <c r="C125" s="43">
        <f>-C124*0.3</f>
        <v>315</v>
      </c>
    </row>
    <row r="126" spans="1:3">
      <c r="B126" s="43" t="s">
        <v>170</v>
      </c>
      <c r="C126" s="137">
        <f>C78</f>
        <v>166225</v>
      </c>
    </row>
    <row r="127" spans="1:3">
      <c r="B127" s="43" t="s">
        <v>263</v>
      </c>
      <c r="C127" s="137">
        <f>-8575*2.5/3.5</f>
        <v>-6125</v>
      </c>
    </row>
    <row r="128" spans="1:3">
      <c r="B128" s="43" t="s">
        <v>264</v>
      </c>
      <c r="C128" s="137">
        <f>-2297*3.75/4.5</f>
        <v>-1914.1666666666667</v>
      </c>
    </row>
    <row r="129" spans="2:4">
      <c r="B129" s="43" t="s">
        <v>265</v>
      </c>
      <c r="C129" s="138">
        <f>-490</f>
        <v>-490</v>
      </c>
    </row>
    <row r="130" spans="2:4">
      <c r="C130" s="139">
        <f>SUM(C123:C129)</f>
        <v>268435.83333333331</v>
      </c>
    </row>
    <row r="131" spans="2:4">
      <c r="C131" s="139"/>
    </row>
    <row r="132" spans="2:4">
      <c r="B132" s="238" t="s">
        <v>266</v>
      </c>
      <c r="C132" s="238"/>
    </row>
    <row r="133" spans="2:4">
      <c r="B133" s="133" t="s">
        <v>262</v>
      </c>
      <c r="C133" s="43">
        <f>0.3*(300000+75000*6/12-30000*6/12+8000-12000+280000)</f>
        <v>179550</v>
      </c>
    </row>
    <row r="134" spans="2:4">
      <c r="B134" s="43" t="s">
        <v>233</v>
      </c>
      <c r="C134" s="43">
        <f>C124*0.3/0.35</f>
        <v>-900.00000000000011</v>
      </c>
    </row>
    <row r="135" spans="2:4">
      <c r="B135" s="43" t="s">
        <v>167</v>
      </c>
      <c r="C135" s="43">
        <f>-C134*0.3</f>
        <v>270</v>
      </c>
    </row>
    <row r="136" spans="2:4">
      <c r="B136" s="43" t="s">
        <v>170</v>
      </c>
      <c r="C136" s="137">
        <f>C126*0.3/0.35</f>
        <v>142478.57142857145</v>
      </c>
    </row>
    <row r="137" spans="2:4">
      <c r="B137" s="43" t="s">
        <v>263</v>
      </c>
      <c r="C137" s="137">
        <f>C127*0.3/0.35</f>
        <v>-5250</v>
      </c>
    </row>
    <row r="138" spans="2:4">
      <c r="B138" s="43" t="s">
        <v>264</v>
      </c>
      <c r="C138" s="137">
        <f>C128</f>
        <v>-1914.1666666666667</v>
      </c>
      <c r="D138" s="43" t="s">
        <v>267</v>
      </c>
    </row>
    <row r="139" spans="2:4">
      <c r="B139" s="43" t="s">
        <v>265</v>
      </c>
      <c r="C139" s="138">
        <f>-490</f>
        <v>-490</v>
      </c>
      <c r="D139" s="43" t="s">
        <v>268</v>
      </c>
    </row>
    <row r="140" spans="2:4">
      <c r="C140" s="139">
        <f>SUM(C133:C139)</f>
        <v>313744.40476190479</v>
      </c>
    </row>
    <row r="141" spans="2:4">
      <c r="C141" s="139"/>
    </row>
    <row r="142" spans="2:4">
      <c r="B142" s="43" t="s">
        <v>269</v>
      </c>
      <c r="C142" s="139"/>
    </row>
    <row r="143" spans="2:4">
      <c r="B143" s="43" t="s">
        <v>230</v>
      </c>
      <c r="C143" s="140">
        <f>C140-C130</f>
        <v>45308.571428571478</v>
      </c>
    </row>
    <row r="144" spans="2:4">
      <c r="B144" s="43" t="s">
        <v>270</v>
      </c>
      <c r="C144" s="140">
        <f>280000*0.175</f>
        <v>49000</v>
      </c>
    </row>
    <row r="145" spans="1:3">
      <c r="B145" s="43" t="s">
        <v>271</v>
      </c>
      <c r="C145" s="140">
        <f>C144-C143</f>
        <v>3691.4285714285215</v>
      </c>
    </row>
    <row r="146" spans="1:3">
      <c r="C146" s="139"/>
    </row>
    <row r="147" spans="1:3">
      <c r="B147" s="43" t="s">
        <v>271</v>
      </c>
      <c r="C147" s="140">
        <f>-(F102+F104)*0.05/0.35</f>
        <v>200</v>
      </c>
    </row>
    <row r="148" spans="1:3">
      <c r="B148" s="43" t="s">
        <v>272</v>
      </c>
      <c r="C148" s="140">
        <f>C147</f>
        <v>200</v>
      </c>
    </row>
    <row r="149" spans="1:3">
      <c r="C149" s="139"/>
    </row>
    <row r="150" spans="1:3">
      <c r="A150" s="111">
        <v>9</v>
      </c>
      <c r="B150" s="238" t="s">
        <v>273</v>
      </c>
      <c r="C150" s="238"/>
    </row>
    <row r="151" spans="1:3">
      <c r="B151" s="43" t="s">
        <v>274</v>
      </c>
      <c r="C151" s="139"/>
    </row>
    <row r="152" spans="1:3">
      <c r="B152" s="43" t="s">
        <v>275</v>
      </c>
      <c r="C152" s="139"/>
    </row>
    <row r="153" spans="1:3">
      <c r="B153" s="43" t="s">
        <v>276</v>
      </c>
      <c r="C153" s="139"/>
    </row>
    <row r="154" spans="1:3">
      <c r="B154" s="43" t="s">
        <v>277</v>
      </c>
      <c r="C154" s="140">
        <f>2297*2.25/4.5</f>
        <v>1148.5</v>
      </c>
    </row>
    <row r="155" spans="1:3">
      <c r="B155" s="43" t="s">
        <v>278</v>
      </c>
      <c r="C155" s="140">
        <v>490</v>
      </c>
    </row>
    <row r="157" spans="1:3">
      <c r="B157" s="43" t="s">
        <v>221</v>
      </c>
      <c r="C157" s="43">
        <v>400000</v>
      </c>
    </row>
    <row r="158" spans="1:3">
      <c r="B158" s="43" t="s">
        <v>222</v>
      </c>
      <c r="C158" s="137">
        <f>C36+C155+C154</f>
        <v>332198.57142857148</v>
      </c>
    </row>
    <row r="159" spans="1:3">
      <c r="B159" s="43" t="s">
        <v>223</v>
      </c>
      <c r="C159" s="137">
        <f>C157-C158</f>
        <v>67801.428571428522</v>
      </c>
    </row>
    <row r="161" spans="2:3">
      <c r="B161" s="43" t="s">
        <v>225</v>
      </c>
      <c r="C161" s="137">
        <f>C154</f>
        <v>1148.5</v>
      </c>
    </row>
    <row r="162" spans="2:3">
      <c r="B162" s="43" t="s">
        <v>226</v>
      </c>
      <c r="C162" s="137">
        <f>C154/0.75</f>
        <v>1531.3333333333333</v>
      </c>
    </row>
    <row r="163" spans="2:3">
      <c r="B163" s="43" t="s">
        <v>227</v>
      </c>
      <c r="C163" s="137">
        <f>C162-C161</f>
        <v>382.83333333333326</v>
      </c>
    </row>
    <row r="165" spans="2:3">
      <c r="B165" s="43" t="s">
        <v>225</v>
      </c>
      <c r="C165" s="137">
        <f>C155</f>
        <v>490</v>
      </c>
    </row>
    <row r="166" spans="2:3">
      <c r="B166" s="43" t="s">
        <v>228</v>
      </c>
      <c r="C166" s="137">
        <f>C165</f>
        <v>490</v>
      </c>
    </row>
  </sheetData>
  <mergeCells count="19">
    <mergeCell ref="D106:E106"/>
    <mergeCell ref="B2:C2"/>
    <mergeCell ref="B42:C42"/>
    <mergeCell ref="B59:C59"/>
    <mergeCell ref="B66:C66"/>
    <mergeCell ref="B68:C68"/>
    <mergeCell ref="B81:C81"/>
    <mergeCell ref="B86:C86"/>
    <mergeCell ref="B94:C94"/>
    <mergeCell ref="B99:C99"/>
    <mergeCell ref="D102:E102"/>
    <mergeCell ref="D104:E104"/>
    <mergeCell ref="B150:C150"/>
    <mergeCell ref="D108:E108"/>
    <mergeCell ref="B111:C111"/>
    <mergeCell ref="B115:C115"/>
    <mergeCell ref="B119:C119"/>
    <mergeCell ref="B122:C122"/>
    <mergeCell ref="B132:C13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2"/>
  <sheetViews>
    <sheetView rightToLeft="1" tabSelected="1" topLeftCell="A70" workbookViewId="0">
      <selection activeCell="E87" sqref="E87"/>
    </sheetView>
  </sheetViews>
  <sheetFormatPr defaultRowHeight="14.25"/>
  <cols>
    <col min="1" max="1" width="9.140625" style="143"/>
    <col min="2" max="2" width="9.140625" style="142"/>
    <col min="3" max="3" width="37.85546875" style="143" customWidth="1"/>
    <col min="4" max="4" width="12.140625" style="145" customWidth="1"/>
    <col min="5" max="5" width="16.140625" style="143" bestFit="1" customWidth="1"/>
    <col min="6" max="6" width="14.85546875" style="143" bestFit="1" customWidth="1"/>
    <col min="7" max="7" width="16.140625" style="143" bestFit="1" customWidth="1"/>
    <col min="8" max="9" width="9.140625" style="143"/>
    <col min="10" max="10" width="14.7109375" style="143" customWidth="1"/>
    <col min="11" max="11" width="9.140625" style="143"/>
    <col min="12" max="12" width="13.140625" style="145" bestFit="1" customWidth="1"/>
    <col min="13" max="13" width="13.140625" style="143" bestFit="1" customWidth="1"/>
    <col min="14" max="14" width="13.5703125" style="145" bestFit="1" customWidth="1"/>
    <col min="15" max="16384" width="9.140625" style="143"/>
  </cols>
  <sheetData>
    <row r="2" spans="1:14" ht="15">
      <c r="A2" s="141" t="s">
        <v>28</v>
      </c>
      <c r="C2" s="143" t="s">
        <v>279</v>
      </c>
      <c r="D2" s="144">
        <f>2100/5000</f>
        <v>0.42</v>
      </c>
    </row>
    <row r="4" spans="1:14" ht="15">
      <c r="B4" s="146" t="s">
        <v>280</v>
      </c>
      <c r="C4" s="141" t="s">
        <v>281</v>
      </c>
    </row>
    <row r="5" spans="1:14" ht="15">
      <c r="A5" s="143">
        <v>2</v>
      </c>
      <c r="B5" s="142">
        <v>1</v>
      </c>
      <c r="C5" s="143" t="s">
        <v>282</v>
      </c>
      <c r="D5" s="145">
        <f>D57</f>
        <v>950000</v>
      </c>
      <c r="J5" s="141" t="s">
        <v>283</v>
      </c>
    </row>
    <row r="6" spans="1:14">
      <c r="A6" s="143">
        <v>0.625</v>
      </c>
      <c r="C6" s="143" t="s">
        <v>284</v>
      </c>
      <c r="D6" s="145">
        <f>D2*85000*2/12</f>
        <v>5950</v>
      </c>
      <c r="J6" s="143" t="s">
        <v>285</v>
      </c>
      <c r="L6" s="145">
        <f>D2*(D61+D62+85000*2/12+D91*0.7)</f>
        <v>697312.14</v>
      </c>
      <c r="N6" s="145">
        <f>L6/0.42</f>
        <v>1660267</v>
      </c>
    </row>
    <row r="7" spans="1:14">
      <c r="C7" s="147" t="s">
        <v>286</v>
      </c>
      <c r="J7" s="143" t="s">
        <v>287</v>
      </c>
      <c r="L7" s="145">
        <f>D63*D2</f>
        <v>-35280</v>
      </c>
    </row>
    <row r="8" spans="1:14">
      <c r="A8" s="143">
        <v>0.625</v>
      </c>
      <c r="C8" s="143" t="s">
        <v>288</v>
      </c>
      <c r="D8" s="145">
        <f>-G57*(2/12)/(11+2/12)*0.7</f>
        <v>113.35820895522404</v>
      </c>
      <c r="J8" s="143" t="s">
        <v>289</v>
      </c>
      <c r="L8" s="145">
        <f>D14</f>
        <v>-10289.99999999998</v>
      </c>
    </row>
    <row r="9" spans="1:14">
      <c r="A9" s="143">
        <v>0.625</v>
      </c>
      <c r="C9" s="143" t="s">
        <v>290</v>
      </c>
      <c r="D9" s="145">
        <f>-G59*(2/12)/6.5*0.7</f>
        <v>-1865.7692307692305</v>
      </c>
      <c r="J9" s="148" t="s">
        <v>291</v>
      </c>
    </row>
    <row r="10" spans="1:14">
      <c r="C10" s="143" t="s">
        <v>233</v>
      </c>
      <c r="D10" s="145">
        <v>0</v>
      </c>
      <c r="J10" s="143" t="s">
        <v>288</v>
      </c>
      <c r="L10" s="145">
        <f>G57*(11/(11+2/12))</f>
        <v>-10688.059701492553</v>
      </c>
    </row>
    <row r="11" spans="1:14">
      <c r="A11" s="143">
        <v>0.625</v>
      </c>
      <c r="C11" s="143" t="s">
        <v>292</v>
      </c>
      <c r="D11" s="145">
        <f>-0.42*(G71-G75)*0.7</f>
        <v>-710.86284234974858</v>
      </c>
      <c r="J11" s="143" t="s">
        <v>167</v>
      </c>
      <c r="L11" s="145">
        <f>-L10*0.3</f>
        <v>3206.4179104477657</v>
      </c>
    </row>
    <row r="12" spans="1:14">
      <c r="C12" s="143" t="s">
        <v>293</v>
      </c>
      <c r="D12" s="145">
        <v>0</v>
      </c>
      <c r="E12" s="143" t="s">
        <v>294</v>
      </c>
      <c r="J12" s="143" t="s">
        <v>290</v>
      </c>
      <c r="L12" s="145">
        <f>G59*(6+4/12)/6.5</f>
        <v>101284.61538461539</v>
      </c>
    </row>
    <row r="13" spans="1:14">
      <c r="A13" s="143">
        <v>0.75</v>
      </c>
      <c r="B13" s="142">
        <v>2</v>
      </c>
      <c r="C13" s="143" t="s">
        <v>295</v>
      </c>
      <c r="D13" s="145">
        <f>D2*D91*0.7</f>
        <v>44100</v>
      </c>
      <c r="J13" s="143" t="s">
        <v>167</v>
      </c>
      <c r="L13" s="145">
        <f>-L12*0.3</f>
        <v>-30385.384615384617</v>
      </c>
    </row>
    <row r="14" spans="1:14">
      <c r="A14" s="143">
        <v>1</v>
      </c>
      <c r="B14" s="142">
        <v>3</v>
      </c>
      <c r="C14" s="143" t="s">
        <v>296</v>
      </c>
      <c r="D14" s="149">
        <f>D110*0.7</f>
        <v>-10289.99999999998</v>
      </c>
      <c r="J14" s="143" t="s">
        <v>233</v>
      </c>
      <c r="L14" s="145">
        <f>G61</f>
        <v>-16800</v>
      </c>
    </row>
    <row r="15" spans="1:14" ht="15">
      <c r="A15" s="143">
        <v>2</v>
      </c>
      <c r="C15" s="150" t="s">
        <v>297</v>
      </c>
      <c r="D15" s="145">
        <f>SUM(D5:D14)</f>
        <v>987296.72613583622</v>
      </c>
      <c r="J15" s="143" t="s">
        <v>167</v>
      </c>
      <c r="L15" s="145">
        <f>G62</f>
        <v>5040</v>
      </c>
    </row>
    <row r="16" spans="1:14">
      <c r="A16" s="143">
        <v>0.75</v>
      </c>
      <c r="B16" s="142">
        <v>4</v>
      </c>
      <c r="C16" s="151" t="s">
        <v>298</v>
      </c>
      <c r="D16" s="145">
        <f>F117</f>
        <v>150.76923076923049</v>
      </c>
      <c r="J16" s="143" t="s">
        <v>292</v>
      </c>
      <c r="L16" s="145">
        <f>G75*0.42</f>
        <v>28172.656713798748</v>
      </c>
    </row>
    <row r="17" spans="1:14">
      <c r="A17" s="143">
        <v>0.625</v>
      </c>
      <c r="C17" s="143" t="s">
        <v>135</v>
      </c>
      <c r="D17" s="145">
        <f>D2*85000</f>
        <v>35700</v>
      </c>
      <c r="J17" s="143" t="s">
        <v>167</v>
      </c>
      <c r="L17" s="145">
        <f>-L16*0.3</f>
        <v>-8451.7970141396236</v>
      </c>
    </row>
    <row r="18" spans="1:14">
      <c r="C18" s="148" t="s">
        <v>286</v>
      </c>
      <c r="J18" s="143" t="s">
        <v>170</v>
      </c>
      <c r="L18" s="149">
        <f>G65</f>
        <v>264176.13745799114</v>
      </c>
    </row>
    <row r="19" spans="1:14">
      <c r="A19" s="143">
        <v>0.625</v>
      </c>
      <c r="C19" s="143" t="s">
        <v>288</v>
      </c>
      <c r="D19" s="145">
        <f>-L10*1/11*0.7</f>
        <v>680.14925373134429</v>
      </c>
      <c r="L19" s="145">
        <f>SUM(L6:L18)</f>
        <v>987296.72613583633</v>
      </c>
      <c r="M19" s="145">
        <f>L19-D15</f>
        <v>0</v>
      </c>
      <c r="N19" s="145">
        <f>M19/2</f>
        <v>0</v>
      </c>
    </row>
    <row r="20" spans="1:14">
      <c r="A20" s="143">
        <v>0.625</v>
      </c>
      <c r="C20" s="143" t="s">
        <v>290</v>
      </c>
      <c r="D20" s="145">
        <f>-(L12+F114)*1/(6+4/12)*0.7</f>
        <v>-10290</v>
      </c>
    </row>
    <row r="21" spans="1:14" ht="15">
      <c r="A21" s="143">
        <v>0.75</v>
      </c>
      <c r="C21" s="143" t="s">
        <v>233</v>
      </c>
      <c r="D21" s="145">
        <f>-D2*120000*0.7</f>
        <v>-35280</v>
      </c>
      <c r="E21" s="143" t="s">
        <v>299</v>
      </c>
      <c r="J21" s="141" t="s">
        <v>300</v>
      </c>
    </row>
    <row r="22" spans="1:14">
      <c r="A22" s="143">
        <v>0.75</v>
      </c>
      <c r="C22" s="143" t="s">
        <v>292</v>
      </c>
      <c r="D22" s="145">
        <f>-(G75-G81)*0.7*0.42</f>
        <v>-4588.9473880178994</v>
      </c>
      <c r="J22" s="143" t="s">
        <v>285</v>
      </c>
      <c r="L22" s="145">
        <f>D2*(N6+85000-D133+D172*0.7)</f>
        <v>743792.14</v>
      </c>
      <c r="N22" s="145">
        <f>L22/0.42</f>
        <v>1770933.6666666667</v>
      </c>
    </row>
    <row r="23" spans="1:14">
      <c r="A23" s="143">
        <v>0.75</v>
      </c>
      <c r="B23" s="142">
        <v>5</v>
      </c>
      <c r="C23" s="143" t="s">
        <v>293</v>
      </c>
      <c r="D23" s="145">
        <f>D2*D123</f>
        <v>35280</v>
      </c>
      <c r="J23" s="143" t="s">
        <v>287</v>
      </c>
      <c r="L23" s="145">
        <f>D81*D19</f>
        <v>0</v>
      </c>
    </row>
    <row r="24" spans="1:14">
      <c r="A24" s="143">
        <v>1</v>
      </c>
      <c r="B24" s="142">
        <v>6</v>
      </c>
      <c r="C24" s="143" t="s">
        <v>295</v>
      </c>
      <c r="D24" s="145">
        <f>-D133*D2-D25</f>
        <v>-44100</v>
      </c>
      <c r="J24" s="143" t="s">
        <v>289</v>
      </c>
      <c r="L24" s="145">
        <f>D160*0.7</f>
        <v>-14699.999999999964</v>
      </c>
    </row>
    <row r="25" spans="1:14">
      <c r="C25" s="143" t="s">
        <v>301</v>
      </c>
      <c r="D25" s="145">
        <f>-F140</f>
        <v>-17640</v>
      </c>
      <c r="J25" s="148" t="s">
        <v>291</v>
      </c>
    </row>
    <row r="26" spans="1:14">
      <c r="A26" s="143">
        <v>1</v>
      </c>
      <c r="B26" s="142">
        <v>7</v>
      </c>
      <c r="C26" s="152" t="s">
        <v>296</v>
      </c>
      <c r="D26" s="145">
        <f>D162*0.7</f>
        <v>-4409.9999999999827</v>
      </c>
      <c r="J26" s="143" t="s">
        <v>288</v>
      </c>
      <c r="L26" s="145">
        <f>D158</f>
        <v>-9716.4179104477753</v>
      </c>
    </row>
    <row r="27" spans="1:14">
      <c r="A27" s="143">
        <v>1</v>
      </c>
      <c r="B27" s="142">
        <v>8</v>
      </c>
      <c r="C27" s="153" t="s">
        <v>302</v>
      </c>
      <c r="J27" s="143" t="s">
        <v>167</v>
      </c>
      <c r="L27" s="145">
        <f>-L26*0.3</f>
        <v>2914.9253731343324</v>
      </c>
    </row>
    <row r="28" spans="1:14">
      <c r="C28" s="152" t="s">
        <v>303</v>
      </c>
      <c r="D28" s="145">
        <f>-(L12+F114)*(5+4/12)/(6+4/12)*0.7</f>
        <v>-54880</v>
      </c>
      <c r="J28" s="143" t="s">
        <v>290</v>
      </c>
      <c r="L28" s="145">
        <v>0</v>
      </c>
    </row>
    <row r="29" spans="1:14">
      <c r="C29" s="152" t="s">
        <v>304</v>
      </c>
      <c r="D29" s="149">
        <f>D2*D172*0.7</f>
        <v>72520</v>
      </c>
      <c r="J29" s="143" t="s">
        <v>167</v>
      </c>
      <c r="L29" s="145">
        <v>0</v>
      </c>
    </row>
    <row r="30" spans="1:14" ht="15">
      <c r="A30" s="143">
        <v>2</v>
      </c>
      <c r="C30" s="150" t="s">
        <v>305</v>
      </c>
      <c r="D30" s="145">
        <f>SUM(D15:D29)</f>
        <v>960438.69723231893</v>
      </c>
      <c r="J30" s="143" t="s">
        <v>233</v>
      </c>
      <c r="L30" s="145">
        <f>-0.42*160000</f>
        <v>-67200</v>
      </c>
    </row>
    <row r="31" spans="1:14">
      <c r="A31" s="143">
        <v>0.625</v>
      </c>
      <c r="C31" s="151" t="s">
        <v>284</v>
      </c>
      <c r="D31" s="145">
        <f>0.42*85000</f>
        <v>35700</v>
      </c>
      <c r="J31" s="143" t="s">
        <v>167</v>
      </c>
      <c r="L31" s="145">
        <f>-L30*0.3</f>
        <v>20160</v>
      </c>
    </row>
    <row r="32" spans="1:14">
      <c r="B32" s="142">
        <v>9</v>
      </c>
      <c r="C32" s="151" t="s">
        <v>286</v>
      </c>
      <c r="J32" s="143" t="s">
        <v>292</v>
      </c>
      <c r="L32" s="145">
        <f>G81*0.42</f>
        <v>21617.01758805889</v>
      </c>
    </row>
    <row r="33" spans="1:14">
      <c r="A33" s="143">
        <v>0.75</v>
      </c>
      <c r="C33" s="151" t="s">
        <v>288</v>
      </c>
      <c r="D33" s="145">
        <f>D177</f>
        <v>242.9104477611927</v>
      </c>
      <c r="J33" s="143" t="s">
        <v>167</v>
      </c>
      <c r="L33" s="145">
        <f>-L32*0.3</f>
        <v>-6485.1052764176666</v>
      </c>
    </row>
    <row r="34" spans="1:14">
      <c r="C34" s="151" t="s">
        <v>290</v>
      </c>
      <c r="D34" s="145">
        <v>0</v>
      </c>
      <c r="J34" s="143" t="s">
        <v>170</v>
      </c>
      <c r="L34" s="149">
        <f>G65+F116</f>
        <v>270056.13745799114</v>
      </c>
    </row>
    <row r="35" spans="1:14">
      <c r="A35" s="143">
        <v>0.75</v>
      </c>
      <c r="C35" s="151" t="s">
        <v>233</v>
      </c>
      <c r="D35" s="145">
        <f>D182</f>
        <v>-3360</v>
      </c>
      <c r="L35" s="145">
        <f>SUM(L22:L34)</f>
        <v>960438.69723231881</v>
      </c>
      <c r="M35" s="145">
        <f>D30</f>
        <v>960438.69723231893</v>
      </c>
      <c r="N35" s="145">
        <f>L35-M35</f>
        <v>0</v>
      </c>
    </row>
    <row r="36" spans="1:14">
      <c r="A36" s="143">
        <v>0.75</v>
      </c>
      <c r="C36" s="151" t="s">
        <v>292</v>
      </c>
      <c r="D36" s="145">
        <f>D187</f>
        <v>-4232.9578463242724</v>
      </c>
    </row>
    <row r="37" spans="1:14">
      <c r="C37" s="151" t="s">
        <v>293</v>
      </c>
      <c r="D37" s="145">
        <v>0</v>
      </c>
      <c r="E37" s="143" t="s">
        <v>294</v>
      </c>
    </row>
    <row r="38" spans="1:14" ht="15">
      <c r="A38" s="143">
        <v>1</v>
      </c>
      <c r="B38" s="142">
        <v>10</v>
      </c>
      <c r="C38" s="151" t="s">
        <v>306</v>
      </c>
      <c r="D38" s="145">
        <f>G208</f>
        <v>-8925.0000000000218</v>
      </c>
      <c r="J38" s="141" t="s">
        <v>307</v>
      </c>
    </row>
    <row r="39" spans="1:14">
      <c r="A39" s="143">
        <v>1</v>
      </c>
      <c r="B39" s="142">
        <v>11</v>
      </c>
      <c r="C39" s="151" t="s">
        <v>302</v>
      </c>
      <c r="D39" s="149">
        <f>0.42*D221</f>
        <v>36680</v>
      </c>
      <c r="J39" s="143" t="s">
        <v>285</v>
      </c>
      <c r="L39" s="145">
        <f>0.42*(N22+85000+D221)</f>
        <v>816172.14</v>
      </c>
    </row>
    <row r="40" spans="1:14">
      <c r="A40" s="143">
        <v>2</v>
      </c>
      <c r="C40" s="154" t="s">
        <v>308</v>
      </c>
      <c r="D40" s="145">
        <f>SUM(D30:D39)</f>
        <v>1016543.6498337558</v>
      </c>
      <c r="J40" s="143" t="s">
        <v>287</v>
      </c>
      <c r="L40" s="145">
        <f>D98*D37</f>
        <v>0</v>
      </c>
    </row>
    <row r="41" spans="1:14">
      <c r="C41" s="154"/>
      <c r="J41" s="143" t="s">
        <v>289</v>
      </c>
      <c r="L41" s="145">
        <f>D207*0.75</f>
        <v>-23624.999999999985</v>
      </c>
    </row>
    <row r="42" spans="1:14">
      <c r="A42" s="143">
        <f>SUM(A5:A41)</f>
        <v>25</v>
      </c>
      <c r="C42" s="154"/>
      <c r="J42" s="148" t="s">
        <v>291</v>
      </c>
    </row>
    <row r="43" spans="1:14">
      <c r="C43" s="154"/>
      <c r="J43" s="143" t="s">
        <v>288</v>
      </c>
      <c r="L43" s="145">
        <f>D205</f>
        <v>-8744.776119402999</v>
      </c>
    </row>
    <row r="44" spans="1:14">
      <c r="C44" s="154"/>
      <c r="J44" s="143" t="s">
        <v>167</v>
      </c>
      <c r="L44" s="145">
        <f>-L43*0.25</f>
        <v>2186.1940298507498</v>
      </c>
    </row>
    <row r="45" spans="1:14">
      <c r="C45" s="154"/>
      <c r="J45" s="143" t="s">
        <v>290</v>
      </c>
      <c r="L45" s="145">
        <v>0</v>
      </c>
    </row>
    <row r="46" spans="1:14">
      <c r="C46" s="154"/>
      <c r="J46" s="143" t="s">
        <v>167</v>
      </c>
      <c r="L46" s="145">
        <v>0</v>
      </c>
    </row>
    <row r="47" spans="1:14">
      <c r="C47" s="154"/>
      <c r="J47" s="143" t="s">
        <v>233</v>
      </c>
      <c r="L47" s="145">
        <f>-0.42*160000</f>
        <v>-67200</v>
      </c>
    </row>
    <row r="48" spans="1:14">
      <c r="C48" s="154"/>
      <c r="J48" s="143" t="s">
        <v>167</v>
      </c>
      <c r="L48" s="145">
        <f>-L47*0.25</f>
        <v>16800</v>
      </c>
    </row>
    <row r="49" spans="2:14">
      <c r="C49" s="154"/>
      <c r="J49" s="143" t="s">
        <v>292</v>
      </c>
      <c r="L49" s="145">
        <f>0.42*G85</f>
        <v>14531.939287089268</v>
      </c>
    </row>
    <row r="50" spans="2:14">
      <c r="C50" s="154"/>
      <c r="J50" s="143" t="s">
        <v>167</v>
      </c>
      <c r="L50" s="145">
        <f>-L49*0.25</f>
        <v>-3632.984821772317</v>
      </c>
    </row>
    <row r="51" spans="2:14">
      <c r="C51" s="154"/>
      <c r="J51" s="143" t="s">
        <v>170</v>
      </c>
      <c r="L51" s="149">
        <f>L34</f>
        <v>270056.13745799114</v>
      </c>
    </row>
    <row r="52" spans="2:14">
      <c r="C52" s="154"/>
      <c r="L52" s="145">
        <f>SUM(L39:L51)</f>
        <v>1016543.6498337559</v>
      </c>
      <c r="M52" s="145">
        <f>D40</f>
        <v>1016543.6498337558</v>
      </c>
      <c r="N52" s="145">
        <f>L52-M52</f>
        <v>0</v>
      </c>
    </row>
    <row r="53" spans="2:14">
      <c r="C53" s="152"/>
    </row>
    <row r="56" spans="2:14" ht="15">
      <c r="B56" s="142">
        <v>1</v>
      </c>
      <c r="C56" s="141" t="s">
        <v>309</v>
      </c>
      <c r="F56" s="141" t="s">
        <v>310</v>
      </c>
    </row>
    <row r="57" spans="2:14">
      <c r="C57" s="143" t="s">
        <v>162</v>
      </c>
      <c r="D57" s="145">
        <v>950000</v>
      </c>
      <c r="F57" s="143" t="s">
        <v>288</v>
      </c>
      <c r="G57" s="143">
        <f>0.42*(700000-D70)</f>
        <v>-10850.000000000016</v>
      </c>
      <c r="H57" s="143" t="s">
        <v>311</v>
      </c>
    </row>
    <row r="58" spans="2:14">
      <c r="C58" s="143" t="s">
        <v>163</v>
      </c>
      <c r="D58" s="149">
        <f>D2*D64</f>
        <v>611982.14</v>
      </c>
      <c r="F58" s="143" t="s">
        <v>167</v>
      </c>
      <c r="G58" s="143">
        <f>-G57*0.3</f>
        <v>3255.000000000005</v>
      </c>
    </row>
    <row r="59" spans="2:14">
      <c r="D59" s="145">
        <f>D57-D58</f>
        <v>338017.86</v>
      </c>
      <c r="F59" s="143" t="s">
        <v>290</v>
      </c>
      <c r="G59" s="143">
        <f>0.42*(800000-D71)</f>
        <v>103950</v>
      </c>
      <c r="H59" s="143" t="s">
        <v>312</v>
      </c>
    </row>
    <row r="60" spans="2:14">
      <c r="C60" s="148" t="s">
        <v>313</v>
      </c>
      <c r="F60" s="143" t="s">
        <v>167</v>
      </c>
      <c r="G60" s="143">
        <f>-G59*0.3</f>
        <v>-31185</v>
      </c>
    </row>
    <row r="61" spans="2:14">
      <c r="C61" s="143" t="s">
        <v>160</v>
      </c>
      <c r="D61" s="145">
        <f>-(D76+D78+D79+D77)</f>
        <v>591100.33333333349</v>
      </c>
      <c r="F61" s="143" t="s">
        <v>233</v>
      </c>
      <c r="G61" s="143">
        <f>-0.42*(160000-120000)</f>
        <v>-16800</v>
      </c>
    </row>
    <row r="62" spans="2:14">
      <c r="C62" s="143" t="s">
        <v>314</v>
      </c>
      <c r="D62" s="145">
        <v>950000</v>
      </c>
      <c r="F62" s="143" t="s">
        <v>167</v>
      </c>
      <c r="G62" s="143">
        <f>-G61*0.3</f>
        <v>5040</v>
      </c>
    </row>
    <row r="63" spans="2:14">
      <c r="C63" s="143" t="s">
        <v>287</v>
      </c>
      <c r="D63" s="149">
        <f>-120000*0.7</f>
        <v>-84000</v>
      </c>
      <c r="F63" s="143" t="s">
        <v>315</v>
      </c>
      <c r="G63" s="155">
        <f>0.42*(G70-G69)</f>
        <v>29188.175060012676</v>
      </c>
    </row>
    <row r="64" spans="2:14">
      <c r="D64" s="145">
        <f>SUM(D61:D63)</f>
        <v>1457100.3333333335</v>
      </c>
      <c r="F64" s="143" t="s">
        <v>167</v>
      </c>
      <c r="G64" s="145">
        <f>-G63*0.3</f>
        <v>-8756.4525180038017</v>
      </c>
    </row>
    <row r="65" spans="3:11" ht="15" thickBot="1">
      <c r="F65" s="143" t="s">
        <v>170</v>
      </c>
      <c r="G65" s="156">
        <f>G66-SUM(G57:G64)</f>
        <v>264176.13745799114</v>
      </c>
    </row>
    <row r="66" spans="3:11" ht="15">
      <c r="C66" s="141" t="s">
        <v>316</v>
      </c>
      <c r="G66" s="145">
        <f>D59</f>
        <v>338017.86</v>
      </c>
    </row>
    <row r="67" spans="3:11">
      <c r="C67" s="143" t="s">
        <v>317</v>
      </c>
      <c r="D67" s="145">
        <v>440000</v>
      </c>
      <c r="K67" s="144"/>
    </row>
    <row r="68" spans="3:11" ht="15">
      <c r="C68" s="143" t="s">
        <v>318</v>
      </c>
      <c r="D68" s="145">
        <f>440000+42000/0.7</f>
        <v>500000</v>
      </c>
      <c r="F68" s="141" t="s">
        <v>292</v>
      </c>
    </row>
    <row r="69" spans="3:11">
      <c r="C69" s="143" t="s">
        <v>319</v>
      </c>
      <c r="D69" s="145">
        <v>1200000</v>
      </c>
      <c r="E69" s="157" t="s">
        <v>320</v>
      </c>
      <c r="F69" s="143" t="s">
        <v>321</v>
      </c>
      <c r="G69" s="145">
        <f>PV(6%,4,105000,2100000)</f>
        <v>-2027232.7821333073</v>
      </c>
      <c r="H69" s="143" t="s">
        <v>322</v>
      </c>
      <c r="K69" s="144">
        <v>0.06</v>
      </c>
    </row>
    <row r="70" spans="3:11">
      <c r="C70" s="143" t="s">
        <v>323</v>
      </c>
      <c r="D70" s="145">
        <f>65000*12*(11+2/12)/12</f>
        <v>725833.33333333337</v>
      </c>
      <c r="F70" s="143" t="s">
        <v>324</v>
      </c>
      <c r="G70" s="149">
        <f>PV(7%,4,105000,2100000)</f>
        <v>-1957737.1272285152</v>
      </c>
      <c r="H70" s="143" t="s">
        <v>325</v>
      </c>
      <c r="K70" s="144">
        <v>7.0000000000000007E-2</v>
      </c>
    </row>
    <row r="71" spans="3:11">
      <c r="C71" s="143" t="s">
        <v>326</v>
      </c>
      <c r="D71" s="145">
        <f>850000*6.5/10</f>
        <v>552500</v>
      </c>
      <c r="G71" s="145">
        <f>G70-G69</f>
        <v>69495.654904792085</v>
      </c>
    </row>
    <row r="72" spans="3:11">
      <c r="C72" s="143" t="s">
        <v>327</v>
      </c>
      <c r="D72" s="145">
        <v>-782000</v>
      </c>
      <c r="G72" s="145"/>
    </row>
    <row r="73" spans="3:11">
      <c r="C73" s="143" t="s">
        <v>328</v>
      </c>
      <c r="D73" s="145">
        <v>0</v>
      </c>
      <c r="E73" s="157" t="s">
        <v>329</v>
      </c>
      <c r="F73" s="143" t="s">
        <v>321</v>
      </c>
      <c r="G73" s="145">
        <f>PV(6%,4,105000,2100000)*1.06^(2/12)</f>
        <v>-2047016.1296074577</v>
      </c>
    </row>
    <row r="74" spans="3:11">
      <c r="C74" s="143" t="s">
        <v>292</v>
      </c>
      <c r="D74" s="145">
        <f>-2027233</f>
        <v>-2027233</v>
      </c>
      <c r="F74" s="143" t="s">
        <v>324</v>
      </c>
      <c r="G74" s="149">
        <f>PV(7%,4,105000,2100000)*1.07^(2/12)</f>
        <v>-1979938.3755269845</v>
      </c>
    </row>
    <row r="75" spans="3:11">
      <c r="C75" s="143" t="s">
        <v>526</v>
      </c>
      <c r="D75" s="145">
        <v>-18000</v>
      </c>
      <c r="E75" s="158"/>
      <c r="G75" s="145">
        <f>G74-G73</f>
        <v>67077.754080473213</v>
      </c>
    </row>
    <row r="76" spans="3:11">
      <c r="C76" s="143" t="s">
        <v>330</v>
      </c>
      <c r="D76" s="145">
        <v>-2900</v>
      </c>
      <c r="E76" s="158"/>
      <c r="G76" s="145"/>
    </row>
    <row r="77" spans="3:11">
      <c r="C77" s="143" t="s">
        <v>527</v>
      </c>
      <c r="D77" s="145">
        <v>-42000</v>
      </c>
      <c r="E77" s="158"/>
      <c r="G77" s="145"/>
    </row>
    <row r="78" spans="3:11">
      <c r="C78" s="143" t="s">
        <v>331</v>
      </c>
      <c r="D78" s="145">
        <v>-145100</v>
      </c>
      <c r="E78" s="158"/>
      <c r="G78" s="145"/>
    </row>
    <row r="79" spans="3:11">
      <c r="C79" s="143" t="s">
        <v>332</v>
      </c>
      <c r="D79" s="145">
        <f>-SUM(D67:D78)</f>
        <v>-401100.33333333349</v>
      </c>
      <c r="E79" s="157" t="s">
        <v>333</v>
      </c>
      <c r="F79" s="143" t="s">
        <v>321</v>
      </c>
      <c r="G79" s="145">
        <f>PV(6%,3,105000,2100000)*1.06^(2/12)</f>
        <v>-2063812.4239950897</v>
      </c>
    </row>
    <row r="80" spans="3:11">
      <c r="D80" s="145">
        <f>SUM(D67:D79)</f>
        <v>0</v>
      </c>
      <c r="F80" s="143" t="s">
        <v>324</v>
      </c>
      <c r="G80" s="149">
        <f>PV(7%,3,105000,2100000)*1.07^(2/12)</f>
        <v>-2012343.3344997114</v>
      </c>
    </row>
    <row r="81" spans="2:7">
      <c r="G81" s="145">
        <f>G80-G79</f>
        <v>51469.089495378314</v>
      </c>
    </row>
    <row r="82" spans="2:7">
      <c r="G82" s="145"/>
    </row>
    <row r="83" spans="2:7">
      <c r="E83" s="157" t="s">
        <v>334</v>
      </c>
      <c r="F83" s="143" t="s">
        <v>321</v>
      </c>
      <c r="G83" s="145">
        <f>PV(6%,2,105000,2100000)*1.06^(2/12)</f>
        <v>-2081616.4960459804</v>
      </c>
    </row>
    <row r="84" spans="2:7">
      <c r="F84" s="143" t="s">
        <v>324</v>
      </c>
      <c r="G84" s="149">
        <f>PV(7%,2,105000,2100000)*1.07^(2/12)</f>
        <v>-2047016.6406005297</v>
      </c>
    </row>
    <row r="85" spans="2:7">
      <c r="G85" s="145">
        <f>G84-G83</f>
        <v>34599.855445450637</v>
      </c>
    </row>
    <row r="88" spans="2:7" ht="15">
      <c r="B88" s="142">
        <v>2</v>
      </c>
      <c r="C88" s="159" t="s">
        <v>335</v>
      </c>
      <c r="D88" s="160" t="s">
        <v>297</v>
      </c>
    </row>
    <row r="89" spans="2:7">
      <c r="C89" s="143" t="s">
        <v>324</v>
      </c>
      <c r="D89" s="145">
        <f>650000</f>
        <v>650000</v>
      </c>
    </row>
    <row r="90" spans="2:7">
      <c r="C90" s="143" t="s">
        <v>321</v>
      </c>
      <c r="D90" s="149">
        <v>500000</v>
      </c>
      <c r="E90" s="143">
        <f>440000+42000/0.7</f>
        <v>500000</v>
      </c>
    </row>
    <row r="91" spans="2:7">
      <c r="D91" s="145">
        <f>D89-D90</f>
        <v>150000</v>
      </c>
    </row>
    <row r="93" spans="2:7" ht="15">
      <c r="B93" s="142">
        <v>3</v>
      </c>
      <c r="C93" s="159" t="s">
        <v>336</v>
      </c>
    </row>
    <row r="94" spans="2:7">
      <c r="C94" s="148" t="s">
        <v>337</v>
      </c>
    </row>
    <row r="95" spans="2:7">
      <c r="C95" s="143" t="s">
        <v>321</v>
      </c>
      <c r="D95" s="145">
        <f>1100000*11/15</f>
        <v>806666.66666666663</v>
      </c>
    </row>
    <row r="96" spans="2:7">
      <c r="C96" s="143" t="s">
        <v>338</v>
      </c>
      <c r="D96" s="149">
        <v>750000</v>
      </c>
    </row>
    <row r="97" spans="3:6">
      <c r="C97" s="143" t="s">
        <v>339</v>
      </c>
      <c r="D97" s="145">
        <f>D96-D95</f>
        <v>-56666.666666666628</v>
      </c>
    </row>
    <row r="98" spans="3:6">
      <c r="C98" s="143" t="s">
        <v>340</v>
      </c>
      <c r="D98" s="149">
        <f>-8333*12*11/12</f>
        <v>-91663</v>
      </c>
    </row>
    <row r="99" spans="3:6">
      <c r="C99" s="143" t="s">
        <v>341</v>
      </c>
      <c r="D99" s="145">
        <f>D97-D98</f>
        <v>34996.333333333372</v>
      </c>
    </row>
    <row r="101" spans="3:6">
      <c r="C101" s="143" t="s">
        <v>342</v>
      </c>
    </row>
    <row r="102" spans="3:6">
      <c r="C102" s="143" t="s">
        <v>343</v>
      </c>
    </row>
    <row r="104" spans="3:6">
      <c r="C104" s="148" t="s">
        <v>344</v>
      </c>
    </row>
    <row r="105" spans="3:6">
      <c r="C105" s="143" t="s">
        <v>321</v>
      </c>
      <c r="D105" s="145">
        <f>700000*11/(11+2/12)</f>
        <v>689552.23880597018</v>
      </c>
    </row>
    <row r="106" spans="3:6">
      <c r="C106" s="143" t="s">
        <v>338</v>
      </c>
      <c r="D106" s="145">
        <v>750000</v>
      </c>
    </row>
    <row r="108" spans="3:6">
      <c r="C108" s="143" t="s">
        <v>345</v>
      </c>
      <c r="D108" s="145">
        <f>G57*11/(11+2/12)</f>
        <v>-10688.059701492553</v>
      </c>
    </row>
    <row r="109" spans="3:6">
      <c r="C109" s="143" t="s">
        <v>346</v>
      </c>
      <c r="D109" s="149">
        <f>0.42*(D105-D96)</f>
        <v>-25388.059701492526</v>
      </c>
    </row>
    <row r="110" spans="3:6">
      <c r="C110" s="143" t="s">
        <v>347</v>
      </c>
      <c r="D110" s="145">
        <f>D109-D108</f>
        <v>-14699.999999999973</v>
      </c>
      <c r="E110" s="143">
        <f>D99*0.42</f>
        <v>14698.460000000015</v>
      </c>
    </row>
    <row r="112" spans="3:6">
      <c r="F112" s="161"/>
    </row>
    <row r="113" spans="2:6" ht="15">
      <c r="B113" s="142">
        <v>4</v>
      </c>
      <c r="C113" s="141" t="s">
        <v>348</v>
      </c>
      <c r="D113" s="162" t="s">
        <v>320</v>
      </c>
      <c r="E113" s="163"/>
      <c r="F113" s="164" t="s">
        <v>329</v>
      </c>
    </row>
    <row r="114" spans="2:6">
      <c r="C114" s="143" t="s">
        <v>326</v>
      </c>
      <c r="D114" s="145">
        <f>0.42*(780000-800000)</f>
        <v>-8400</v>
      </c>
      <c r="F114" s="165">
        <f>D114*(6+4/12)/6.5</f>
        <v>-8184.6153846153848</v>
      </c>
    </row>
    <row r="115" spans="2:6">
      <c r="C115" s="143" t="s">
        <v>167</v>
      </c>
      <c r="D115" s="145">
        <f>-D114*0.3</f>
        <v>2520</v>
      </c>
      <c r="F115" s="165">
        <f>-F114*0.3</f>
        <v>2455.3846153846152</v>
      </c>
    </row>
    <row r="116" spans="2:6">
      <c r="C116" s="143" t="s">
        <v>170</v>
      </c>
      <c r="D116" s="149">
        <f>-D114-D115</f>
        <v>5880</v>
      </c>
      <c r="F116" s="166">
        <f>D116</f>
        <v>5880</v>
      </c>
    </row>
    <row r="117" spans="2:6">
      <c r="D117" s="145">
        <f>SUM(D114:D116)</f>
        <v>0</v>
      </c>
      <c r="F117" s="165">
        <f>SUM(F114:F116)</f>
        <v>150.76923076923049</v>
      </c>
    </row>
    <row r="121" spans="2:6" ht="15">
      <c r="B121" s="142">
        <v>5</v>
      </c>
      <c r="C121" s="159" t="s">
        <v>287</v>
      </c>
    </row>
    <row r="122" spans="2:6">
      <c r="C122" s="143" t="s">
        <v>349</v>
      </c>
      <c r="D122" s="145">
        <f>D63</f>
        <v>-84000</v>
      </c>
    </row>
    <row r="123" spans="2:6">
      <c r="C123" s="143" t="s">
        <v>5</v>
      </c>
      <c r="D123" s="149">
        <f>D124-D122</f>
        <v>84000</v>
      </c>
      <c r="E123" s="167" t="s">
        <v>350</v>
      </c>
    </row>
    <row r="124" spans="2:6">
      <c r="C124" s="143" t="s">
        <v>351</v>
      </c>
      <c r="D124" s="145">
        <v>0</v>
      </c>
    </row>
    <row r="126" spans="2:6" ht="15">
      <c r="B126" s="142">
        <v>6</v>
      </c>
      <c r="C126" s="159" t="s">
        <v>335</v>
      </c>
      <c r="D126" s="160"/>
    </row>
    <row r="127" spans="2:6">
      <c r="C127" s="148" t="s">
        <v>337</v>
      </c>
    </row>
    <row r="128" spans="2:6">
      <c r="C128" s="143" t="s">
        <v>352</v>
      </c>
      <c r="D128" s="155">
        <v>700000</v>
      </c>
    </row>
    <row r="129" spans="2:7">
      <c r="C129" s="143" t="s">
        <v>353</v>
      </c>
      <c r="D129" s="155">
        <v>650000</v>
      </c>
    </row>
    <row r="130" spans="2:7">
      <c r="C130" s="143" t="s">
        <v>354</v>
      </c>
      <c r="D130" s="145">
        <v>50000</v>
      </c>
      <c r="F130" s="143" t="s">
        <v>355</v>
      </c>
    </row>
    <row r="132" spans="2:7">
      <c r="C132" s="143" t="s">
        <v>356</v>
      </c>
      <c r="D132" s="145">
        <f>D134-D133</f>
        <v>63000</v>
      </c>
    </row>
    <row r="133" spans="2:7">
      <c r="C133" s="143" t="s">
        <v>357</v>
      </c>
      <c r="D133" s="145">
        <f>210000*0.7</f>
        <v>147000</v>
      </c>
    </row>
    <row r="134" spans="2:7">
      <c r="C134" s="143" t="s">
        <v>358</v>
      </c>
      <c r="D134" s="145">
        <f>650000-440000</f>
        <v>210000</v>
      </c>
      <c r="F134" s="143" t="s">
        <v>355</v>
      </c>
    </row>
    <row r="136" spans="2:7">
      <c r="C136" s="148" t="s">
        <v>359</v>
      </c>
    </row>
    <row r="137" spans="2:7">
      <c r="B137" s="168" t="s">
        <v>360</v>
      </c>
      <c r="C137" s="143" t="s">
        <v>361</v>
      </c>
    </row>
    <row r="138" spans="2:7">
      <c r="B138" s="168" t="s">
        <v>362</v>
      </c>
      <c r="C138" s="143" t="s">
        <v>363</v>
      </c>
      <c r="E138" s="143" t="s">
        <v>364</v>
      </c>
      <c r="F138" s="145">
        <f>D133*0.42</f>
        <v>61740</v>
      </c>
    </row>
    <row r="139" spans="2:7">
      <c r="B139" s="168"/>
      <c r="E139" s="143" t="s">
        <v>365</v>
      </c>
    </row>
    <row r="140" spans="2:7">
      <c r="B140" s="168" t="s">
        <v>366</v>
      </c>
      <c r="C140" s="143" t="s">
        <v>367</v>
      </c>
      <c r="E140" s="143" t="s">
        <v>368</v>
      </c>
      <c r="F140" s="145">
        <f>42000*0.42</f>
        <v>17640</v>
      </c>
      <c r="G140" s="143" t="s">
        <v>369</v>
      </c>
    </row>
    <row r="141" spans="2:7">
      <c r="E141" s="143" t="s">
        <v>370</v>
      </c>
    </row>
    <row r="143" spans="2:7" ht="15">
      <c r="B143" s="142">
        <v>7</v>
      </c>
      <c r="C143" s="159" t="s">
        <v>288</v>
      </c>
    </row>
    <row r="144" spans="2:7">
      <c r="C144" s="148" t="s">
        <v>337</v>
      </c>
    </row>
    <row r="145" spans="3:4">
      <c r="C145" s="143" t="s">
        <v>321</v>
      </c>
      <c r="D145" s="145">
        <f>1100000*10/15</f>
        <v>733333.33333333337</v>
      </c>
    </row>
    <row r="146" spans="3:4">
      <c r="C146" s="143" t="s">
        <v>338</v>
      </c>
      <c r="D146" s="149">
        <v>700000</v>
      </c>
    </row>
    <row r="147" spans="3:4">
      <c r="C147" s="143" t="s">
        <v>339</v>
      </c>
      <c r="D147" s="145">
        <f>D146-D145</f>
        <v>-33333.333333333372</v>
      </c>
    </row>
    <row r="148" spans="3:4">
      <c r="C148" s="143" t="s">
        <v>340</v>
      </c>
      <c r="D148" s="149">
        <f>D97*10/11</f>
        <v>-51515.151515151483</v>
      </c>
    </row>
    <row r="149" spans="3:4">
      <c r="C149" s="143" t="s">
        <v>341</v>
      </c>
      <c r="D149" s="145">
        <f>D147-D148</f>
        <v>18181.818181818111</v>
      </c>
    </row>
    <row r="151" spans="3:4">
      <c r="C151" s="143" t="s">
        <v>342</v>
      </c>
    </row>
    <row r="152" spans="3:4">
      <c r="C152" s="143" t="s">
        <v>343</v>
      </c>
    </row>
    <row r="154" spans="3:4">
      <c r="C154" s="148" t="s">
        <v>344</v>
      </c>
    </row>
    <row r="155" spans="3:4">
      <c r="C155" s="143" t="s">
        <v>321</v>
      </c>
      <c r="D155" s="145">
        <f>700000*10/(11+2/12)</f>
        <v>626865.67164179112</v>
      </c>
    </row>
    <row r="156" spans="3:4">
      <c r="C156" s="143" t="s">
        <v>338</v>
      </c>
      <c r="D156" s="145">
        <v>700000</v>
      </c>
    </row>
    <row r="158" spans="3:4">
      <c r="C158" s="143" t="s">
        <v>345</v>
      </c>
      <c r="D158" s="145">
        <f>L10*10/11</f>
        <v>-9716.4179104477753</v>
      </c>
    </row>
    <row r="159" spans="3:4">
      <c r="C159" s="143" t="s">
        <v>371</v>
      </c>
      <c r="D159" s="149">
        <f>0.42*(D155-D146)</f>
        <v>-30716.417910447726</v>
      </c>
    </row>
    <row r="160" spans="3:4">
      <c r="C160" s="143" t="s">
        <v>372</v>
      </c>
      <c r="D160" s="145">
        <f>D159-D158</f>
        <v>-20999.999999999949</v>
      </c>
    </row>
    <row r="161" spans="2:4">
      <c r="C161" s="143" t="s">
        <v>373</v>
      </c>
      <c r="D161" s="149">
        <f>D110</f>
        <v>-14699.999999999973</v>
      </c>
    </row>
    <row r="162" spans="2:4">
      <c r="D162" s="145">
        <f>D160-D161</f>
        <v>-6299.9999999999764</v>
      </c>
    </row>
    <row r="163" spans="2:4">
      <c r="C163" s="143" t="s">
        <v>374</v>
      </c>
      <c r="D163" s="145">
        <f>D99/11*0.42</f>
        <v>1336.2236363636378</v>
      </c>
    </row>
    <row r="164" spans="2:4">
      <c r="C164" s="143" t="s">
        <v>375</v>
      </c>
      <c r="D164" s="145">
        <f>-D149*0.42</f>
        <v>-7636.363636363606</v>
      </c>
    </row>
    <row r="165" spans="2:4">
      <c r="D165" s="145">
        <f>D163+D164</f>
        <v>-6300.1399999999685</v>
      </c>
    </row>
    <row r="168" spans="2:4" ht="15">
      <c r="B168" s="142">
        <v>8</v>
      </c>
      <c r="C168" s="159" t="s">
        <v>376</v>
      </c>
    </row>
    <row r="169" spans="2:4">
      <c r="C169" s="148" t="s">
        <v>337</v>
      </c>
    </row>
    <row r="170" spans="2:4">
      <c r="C170" s="143" t="s">
        <v>377</v>
      </c>
      <c r="D170" s="145">
        <f>850000*(5+4/12)/10</f>
        <v>453333.33333333331</v>
      </c>
    </row>
    <row r="171" spans="2:4">
      <c r="C171" s="143" t="s">
        <v>324</v>
      </c>
      <c r="D171" s="149">
        <v>700000</v>
      </c>
    </row>
    <row r="172" spans="2:4">
      <c r="D172" s="145">
        <f>D171-D170</f>
        <v>246666.66666666669</v>
      </c>
    </row>
    <row r="174" spans="2:4" ht="15">
      <c r="B174" s="142">
        <v>9</v>
      </c>
      <c r="C174" s="159" t="s">
        <v>378</v>
      </c>
    </row>
    <row r="175" spans="2:4">
      <c r="C175" s="148" t="s">
        <v>288</v>
      </c>
    </row>
    <row r="176" spans="2:4">
      <c r="C176" s="157" t="s">
        <v>333</v>
      </c>
      <c r="D176" s="145">
        <f>L26*0.7</f>
        <v>-6801.492537313442</v>
      </c>
    </row>
    <row r="177" spans="2:5">
      <c r="C177" s="143" t="s">
        <v>5</v>
      </c>
      <c r="D177" s="149">
        <f>D178-D176</f>
        <v>242.9104477611927</v>
      </c>
      <c r="E177" s="167" t="s">
        <v>350</v>
      </c>
    </row>
    <row r="178" spans="2:5">
      <c r="C178" s="157" t="s">
        <v>308</v>
      </c>
      <c r="D178" s="145">
        <f>D176/0.7*9/10*0.75</f>
        <v>-6558.5820895522493</v>
      </c>
    </row>
    <row r="180" spans="2:5">
      <c r="C180" s="148" t="s">
        <v>233</v>
      </c>
    </row>
    <row r="181" spans="2:5">
      <c r="C181" s="157" t="s">
        <v>333</v>
      </c>
      <c r="D181" s="145">
        <f>L30*0.7</f>
        <v>-47040</v>
      </c>
    </row>
    <row r="182" spans="2:5">
      <c r="C182" s="143" t="s">
        <v>5</v>
      </c>
      <c r="D182" s="149">
        <f>D183-D181</f>
        <v>-3360</v>
      </c>
      <c r="E182" s="167" t="s">
        <v>350</v>
      </c>
    </row>
    <row r="183" spans="2:5">
      <c r="C183" s="157" t="s">
        <v>308</v>
      </c>
      <c r="D183" s="145">
        <f>D181/0.7*0.75</f>
        <v>-50400</v>
      </c>
    </row>
    <row r="185" spans="2:5">
      <c r="C185" s="148" t="s">
        <v>292</v>
      </c>
    </row>
    <row r="186" spans="2:5">
      <c r="C186" s="157" t="s">
        <v>333</v>
      </c>
      <c r="D186" s="145">
        <f>L32*0.7</f>
        <v>15131.912311641223</v>
      </c>
    </row>
    <row r="187" spans="2:5">
      <c r="C187" s="143" t="s">
        <v>5</v>
      </c>
      <c r="D187" s="149">
        <f>D188-D186</f>
        <v>-4232.9578463242724</v>
      </c>
      <c r="E187" s="167" t="s">
        <v>350</v>
      </c>
    </row>
    <row r="188" spans="2:5">
      <c r="C188" s="157" t="s">
        <v>308</v>
      </c>
      <c r="D188" s="145">
        <f>0.42*(G85)*0.75</f>
        <v>10898.954465316951</v>
      </c>
    </row>
    <row r="190" spans="2:5" ht="15">
      <c r="B190" s="142">
        <v>10</v>
      </c>
      <c r="C190" s="159" t="s">
        <v>288</v>
      </c>
    </row>
    <row r="191" spans="2:5">
      <c r="C191" s="148" t="s">
        <v>337</v>
      </c>
    </row>
    <row r="192" spans="2:5">
      <c r="C192" s="143" t="s">
        <v>321</v>
      </c>
      <c r="D192" s="145">
        <f>1100000*9/15</f>
        <v>660000</v>
      </c>
    </row>
    <row r="193" spans="3:7">
      <c r="C193" s="143" t="s">
        <v>338</v>
      </c>
      <c r="D193" s="149">
        <v>700000</v>
      </c>
    </row>
    <row r="194" spans="3:7">
      <c r="C194" s="143" t="s">
        <v>339</v>
      </c>
      <c r="D194" s="145">
        <v>0</v>
      </c>
    </row>
    <row r="195" spans="3:7">
      <c r="C195" s="143" t="s">
        <v>340</v>
      </c>
      <c r="D195" s="149">
        <f>D147*9/10</f>
        <v>-30000.000000000036</v>
      </c>
    </row>
    <row r="196" spans="3:7">
      <c r="C196" s="143" t="s">
        <v>341</v>
      </c>
      <c r="D196" s="145">
        <f>D194-D195</f>
        <v>30000.000000000036</v>
      </c>
    </row>
    <row r="198" spans="3:7">
      <c r="C198" s="143" t="s">
        <v>342</v>
      </c>
    </row>
    <row r="199" spans="3:7">
      <c r="C199" s="143" t="s">
        <v>343</v>
      </c>
    </row>
    <row r="201" spans="3:7">
      <c r="C201" s="148" t="s">
        <v>344</v>
      </c>
    </row>
    <row r="202" spans="3:7">
      <c r="C202" s="143" t="s">
        <v>321</v>
      </c>
      <c r="D202" s="145">
        <f>700000*9/(11+2/12)</f>
        <v>564179.10447761195</v>
      </c>
    </row>
    <row r="203" spans="3:7">
      <c r="C203" s="143" t="s">
        <v>338</v>
      </c>
      <c r="D203" s="145">
        <v>700000</v>
      </c>
    </row>
    <row r="205" spans="3:7">
      <c r="C205" s="143" t="s">
        <v>345</v>
      </c>
      <c r="D205" s="145">
        <f>D158*9/10</f>
        <v>-8744.776119402999</v>
      </c>
    </row>
    <row r="206" spans="3:7">
      <c r="C206" s="143" t="s">
        <v>371</v>
      </c>
      <c r="D206" s="149">
        <f>0.42*(D202-D192)</f>
        <v>-40244.776119402981</v>
      </c>
    </row>
    <row r="207" spans="3:7">
      <c r="C207" s="143" t="s">
        <v>372</v>
      </c>
      <c r="D207" s="145">
        <f>D206-D205</f>
        <v>-31499.999999999982</v>
      </c>
      <c r="F207" s="143" t="s">
        <v>379</v>
      </c>
      <c r="G207" s="143">
        <f>D208*0.7</f>
        <v>-14699.999999999964</v>
      </c>
    </row>
    <row r="208" spans="3:7">
      <c r="C208" s="143" t="s">
        <v>373</v>
      </c>
      <c r="D208" s="149">
        <f>D160</f>
        <v>-20999.999999999949</v>
      </c>
      <c r="F208" s="143" t="s">
        <v>5</v>
      </c>
      <c r="G208" s="169">
        <f>G209-G207</f>
        <v>-8925.0000000000218</v>
      </c>
    </row>
    <row r="209" spans="2:7">
      <c r="D209" s="145">
        <f>D207-D208</f>
        <v>-10500.000000000033</v>
      </c>
      <c r="F209" s="143" t="s">
        <v>380</v>
      </c>
      <c r="G209" s="143">
        <f>D207*0.75</f>
        <v>-23624.999999999985</v>
      </c>
    </row>
    <row r="210" spans="2:7">
      <c r="C210" s="143" t="s">
        <v>374</v>
      </c>
      <c r="D210" s="145">
        <f>-D160/10</f>
        <v>2099.999999999995</v>
      </c>
    </row>
    <row r="211" spans="2:7">
      <c r="C211" s="143" t="s">
        <v>375</v>
      </c>
      <c r="D211" s="145">
        <f>-D196*0.42</f>
        <v>-12600.000000000015</v>
      </c>
    </row>
    <row r="212" spans="2:7">
      <c r="D212" s="145">
        <f>D210+D211</f>
        <v>-10500.00000000002</v>
      </c>
    </row>
    <row r="214" spans="2:7" ht="15">
      <c r="B214" s="142">
        <v>11</v>
      </c>
      <c r="C214" s="159" t="s">
        <v>302</v>
      </c>
      <c r="D214" s="170" t="s">
        <v>334</v>
      </c>
    </row>
    <row r="215" spans="2:7">
      <c r="C215" s="148" t="s">
        <v>337</v>
      </c>
    </row>
    <row r="216" spans="2:7">
      <c r="C216" s="143" t="s">
        <v>377</v>
      </c>
      <c r="D216" s="145">
        <f>850000*(4+4/12)/(10)</f>
        <v>368333.33333333331</v>
      </c>
    </row>
    <row r="217" spans="2:7">
      <c r="C217" s="143" t="s">
        <v>324</v>
      </c>
      <c r="D217" s="149">
        <v>715000</v>
      </c>
    </row>
    <row r="218" spans="2:7">
      <c r="C218" s="143" t="s">
        <v>381</v>
      </c>
      <c r="D218" s="145">
        <f>D217-D216</f>
        <v>346666.66666666669</v>
      </c>
    </row>
    <row r="220" spans="2:7">
      <c r="C220" s="143" t="s">
        <v>382</v>
      </c>
      <c r="D220" s="145">
        <f>D172*0.7</f>
        <v>172666.66666666666</v>
      </c>
    </row>
    <row r="221" spans="2:7">
      <c r="C221" s="143" t="s">
        <v>5</v>
      </c>
      <c r="D221" s="149">
        <f>D222-D220</f>
        <v>87333.333333333343</v>
      </c>
    </row>
    <row r="222" spans="2:7">
      <c r="C222" s="143" t="s">
        <v>383</v>
      </c>
      <c r="D222" s="145">
        <f>D218*0.75</f>
        <v>260000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42"/>
  <sheetViews>
    <sheetView rightToLeft="1" topLeftCell="A127" zoomScaleNormal="100" workbookViewId="0">
      <selection activeCell="I144" sqref="I144"/>
    </sheetView>
  </sheetViews>
  <sheetFormatPr defaultRowHeight="14.25"/>
  <cols>
    <col min="1" max="1" width="4.28515625" style="143" customWidth="1"/>
    <col min="2" max="2" width="10.28515625" style="143" customWidth="1"/>
    <col min="3" max="3" width="9.140625" style="143"/>
    <col min="4" max="4" width="13.28515625" style="143" customWidth="1"/>
    <col min="5" max="5" width="11.5703125" style="143" customWidth="1"/>
    <col min="6" max="6" width="12.7109375" style="143" customWidth="1"/>
    <col min="7" max="7" width="11.140625" style="143" customWidth="1"/>
    <col min="8" max="8" width="13.7109375" style="143" bestFit="1" customWidth="1"/>
    <col min="9" max="9" width="11.140625" style="143" customWidth="1"/>
    <col min="10" max="10" width="11" style="143" customWidth="1"/>
    <col min="11" max="11" width="14.140625" style="143" bestFit="1" customWidth="1"/>
    <col min="12" max="12" width="9.140625" style="143"/>
    <col min="13" max="13" width="11.28515625" style="143" bestFit="1" customWidth="1"/>
    <col min="14" max="14" width="9.140625" style="143"/>
    <col min="15" max="15" width="13.140625" style="143" customWidth="1"/>
    <col min="16" max="16" width="11.28515625" style="143" bestFit="1" customWidth="1"/>
    <col min="17" max="17" width="13.140625" style="143" bestFit="1" customWidth="1"/>
    <col min="18" max="16384" width="9.140625" style="143"/>
  </cols>
  <sheetData>
    <row r="1" spans="2:16">
      <c r="C1" s="167"/>
    </row>
    <row r="2" spans="2:16" ht="18.75">
      <c r="B2" s="171" t="s">
        <v>384</v>
      </c>
      <c r="C2" s="167"/>
      <c r="D2" s="172" t="s">
        <v>385</v>
      </c>
      <c r="K2" s="173" t="s">
        <v>386</v>
      </c>
      <c r="O2" s="173" t="s">
        <v>387</v>
      </c>
    </row>
    <row r="3" spans="2:16">
      <c r="C3" s="167"/>
      <c r="K3" s="165">
        <v>150000</v>
      </c>
    </row>
    <row r="4" spans="2:16" ht="15">
      <c r="C4" s="174" t="s">
        <v>388</v>
      </c>
      <c r="D4" s="159"/>
      <c r="E4" s="175">
        <f>D60</f>
        <v>342000</v>
      </c>
      <c r="O4" s="143" t="s">
        <v>389</v>
      </c>
      <c r="P4" s="176">
        <v>34000</v>
      </c>
    </row>
    <row r="5" spans="2:16">
      <c r="C5" s="167" t="s">
        <v>390</v>
      </c>
      <c r="E5" s="177">
        <f>M6*40%</f>
        <v>52000</v>
      </c>
      <c r="O5" s="143" t="s">
        <v>391</v>
      </c>
      <c r="P5" s="176">
        <f>100000*4*10%</f>
        <v>40000</v>
      </c>
    </row>
    <row r="6" spans="2:16">
      <c r="C6" s="167" t="s">
        <v>392</v>
      </c>
      <c r="E6" s="177">
        <f>E76</f>
        <v>-119900</v>
      </c>
      <c r="I6" s="177">
        <f>100000*10%</f>
        <v>10000</v>
      </c>
      <c r="J6" s="177"/>
      <c r="K6" s="177">
        <f>Q38*20%</f>
        <v>10000</v>
      </c>
      <c r="L6" s="177"/>
      <c r="M6" s="177">
        <f>K3-K6-I6</f>
        <v>130000</v>
      </c>
      <c r="O6" s="143" t="s">
        <v>393</v>
      </c>
      <c r="P6" s="176">
        <f>Q38*20%</f>
        <v>10000</v>
      </c>
    </row>
    <row r="7" spans="2:16">
      <c r="C7" s="167" t="s">
        <v>394</v>
      </c>
      <c r="E7" s="177">
        <f>-34000*40%</f>
        <v>-13600</v>
      </c>
      <c r="I7" s="143" t="s">
        <v>395</v>
      </c>
      <c r="K7" s="143" t="s">
        <v>396</v>
      </c>
      <c r="M7" s="143" t="s">
        <v>397</v>
      </c>
      <c r="O7" s="143" t="s">
        <v>398</v>
      </c>
      <c r="P7" s="178">
        <f>SUM(P4:P6)</f>
        <v>84000</v>
      </c>
    </row>
    <row r="8" spans="2:16">
      <c r="C8" s="179" t="s">
        <v>399</v>
      </c>
      <c r="E8" s="177"/>
    </row>
    <row r="9" spans="2:16">
      <c r="C9" s="167" t="s">
        <v>400</v>
      </c>
      <c r="E9" s="177">
        <f>E136</f>
        <v>4999.9999999999973</v>
      </c>
    </row>
    <row r="10" spans="2:16">
      <c r="C10" s="167" t="s">
        <v>401</v>
      </c>
      <c r="E10" s="180">
        <f>-E144</f>
        <v>-500.0000000000004</v>
      </c>
    </row>
    <row r="11" spans="2:16" ht="15">
      <c r="C11" s="174" t="s">
        <v>402</v>
      </c>
      <c r="D11" s="159"/>
      <c r="E11" s="175">
        <f>SUM(E4:E10)</f>
        <v>265000</v>
      </c>
      <c r="K11" s="173" t="s">
        <v>403</v>
      </c>
      <c r="O11" s="173" t="s">
        <v>404</v>
      </c>
    </row>
    <row r="12" spans="2:16">
      <c r="C12" s="167" t="s">
        <v>405</v>
      </c>
      <c r="E12" s="180">
        <f>E13-E11</f>
        <v>133437.5</v>
      </c>
      <c r="K12" s="165">
        <v>110000</v>
      </c>
    </row>
    <row r="13" spans="2:16" ht="15">
      <c r="C13" s="174" t="s">
        <v>406</v>
      </c>
      <c r="D13" s="159"/>
      <c r="E13" s="175">
        <f>E160</f>
        <v>398437.5</v>
      </c>
      <c r="O13" s="143" t="s">
        <v>389</v>
      </c>
      <c r="P13" s="176">
        <v>1300</v>
      </c>
    </row>
    <row r="14" spans="2:16">
      <c r="C14" s="167" t="s">
        <v>390</v>
      </c>
      <c r="E14" s="177">
        <f>M15*37.5%</f>
        <v>33750</v>
      </c>
      <c r="O14" s="143" t="s">
        <v>391</v>
      </c>
      <c r="P14" s="176">
        <f>100000*1*10%</f>
        <v>10000</v>
      </c>
    </row>
    <row r="15" spans="2:16">
      <c r="C15" s="167" t="s">
        <v>394</v>
      </c>
      <c r="E15" s="177">
        <f>-P13*37.5%</f>
        <v>-487.5</v>
      </c>
      <c r="I15" s="177">
        <f>100000*10%</f>
        <v>10000</v>
      </c>
      <c r="J15" s="177"/>
      <c r="K15" s="177">
        <f>Q38*20%</f>
        <v>10000</v>
      </c>
      <c r="L15" s="177"/>
      <c r="M15" s="177">
        <f>K12-K15-I15</f>
        <v>90000</v>
      </c>
      <c r="O15" s="143" t="s">
        <v>393</v>
      </c>
      <c r="P15" s="176">
        <f>50000*20%</f>
        <v>10000</v>
      </c>
    </row>
    <row r="16" spans="2:16">
      <c r="C16" s="167" t="s">
        <v>392</v>
      </c>
      <c r="E16" s="177">
        <f>H76</f>
        <v>92250</v>
      </c>
      <c r="I16" s="143" t="s">
        <v>395</v>
      </c>
      <c r="K16" s="143" t="s">
        <v>396</v>
      </c>
      <c r="M16" s="143" t="s">
        <v>397</v>
      </c>
      <c r="O16" s="143" t="s">
        <v>398</v>
      </c>
      <c r="P16" s="178">
        <f>SUM(P13:P15)</f>
        <v>21300</v>
      </c>
    </row>
    <row r="17" spans="3:16">
      <c r="C17" s="179" t="s">
        <v>399</v>
      </c>
      <c r="E17" s="177"/>
    </row>
    <row r="18" spans="3:16">
      <c r="C18" s="167" t="s">
        <v>400</v>
      </c>
      <c r="E18" s="177">
        <f>E170</f>
        <v>2460.9375</v>
      </c>
    </row>
    <row r="19" spans="3:16">
      <c r="C19" s="167" t="s">
        <v>401</v>
      </c>
      <c r="E19" s="177">
        <f>-E178</f>
        <v>-1054.6875</v>
      </c>
    </row>
    <row r="20" spans="3:16" ht="15">
      <c r="C20" s="174" t="s">
        <v>407</v>
      </c>
      <c r="D20" s="159"/>
      <c r="E20" s="181">
        <f>SUM(E13:E19)</f>
        <v>525356.25</v>
      </c>
      <c r="K20" s="173" t="s">
        <v>408</v>
      </c>
      <c r="O20" s="173" t="s">
        <v>409</v>
      </c>
    </row>
    <row r="21" spans="3:16">
      <c r="C21" s="167" t="s">
        <v>410</v>
      </c>
      <c r="E21" s="182">
        <f>E22-E20</f>
        <v>-245166.25</v>
      </c>
      <c r="K21" s="165">
        <v>-30000</v>
      </c>
    </row>
    <row r="22" spans="3:16" ht="15">
      <c r="C22" s="174" t="s">
        <v>411</v>
      </c>
      <c r="D22" s="159"/>
      <c r="E22" s="181">
        <f>E20*20%/37.5%</f>
        <v>280190</v>
      </c>
      <c r="O22" s="143" t="s">
        <v>389</v>
      </c>
      <c r="P22" s="176">
        <f>0</f>
        <v>0</v>
      </c>
    </row>
    <row r="23" spans="3:16" ht="15" thickBot="1">
      <c r="C23" s="167" t="s">
        <v>390</v>
      </c>
      <c r="E23" s="177">
        <f>M24*20%</f>
        <v>-7940</v>
      </c>
      <c r="O23" s="143" t="s">
        <v>391</v>
      </c>
      <c r="P23" s="176">
        <f>0</f>
        <v>0</v>
      </c>
    </row>
    <row r="24" spans="3:16">
      <c r="C24" s="167" t="s">
        <v>392</v>
      </c>
      <c r="E24" s="177">
        <f>K76</f>
        <v>17250</v>
      </c>
      <c r="I24" s="183">
        <v>5000</v>
      </c>
      <c r="J24" s="177"/>
      <c r="K24" s="177">
        <f>4700</f>
        <v>4700</v>
      </c>
      <c r="L24" s="177"/>
      <c r="M24" s="177">
        <f>K21-K24-I24</f>
        <v>-39700</v>
      </c>
      <c r="O24" s="143" t="s">
        <v>393</v>
      </c>
      <c r="P24" s="176">
        <v>4700</v>
      </c>
    </row>
    <row r="25" spans="3:16" ht="15" thickBot="1">
      <c r="C25" s="167" t="s">
        <v>412</v>
      </c>
      <c r="E25" s="177">
        <f>F196</f>
        <v>6000</v>
      </c>
      <c r="I25" s="184" t="s">
        <v>395</v>
      </c>
      <c r="K25" s="143" t="s">
        <v>396</v>
      </c>
      <c r="M25" s="143" t="s">
        <v>397</v>
      </c>
      <c r="O25" s="143" t="s">
        <v>398</v>
      </c>
      <c r="P25" s="178">
        <f>SUM(P22:P24)</f>
        <v>4700</v>
      </c>
    </row>
    <row r="26" spans="3:16">
      <c r="C26" s="179" t="s">
        <v>399</v>
      </c>
      <c r="E26" s="177"/>
    </row>
    <row r="27" spans="3:16">
      <c r="C27" s="167" t="s">
        <v>400</v>
      </c>
      <c r="E27" s="177">
        <f>E206</f>
        <v>4500</v>
      </c>
    </row>
    <row r="28" spans="3:16">
      <c r="C28" s="167" t="s">
        <v>401</v>
      </c>
      <c r="E28" s="180">
        <f>-E214</f>
        <v>-750</v>
      </c>
    </row>
    <row r="29" spans="3:16" ht="15.75" thickBot="1">
      <c r="C29" s="174" t="s">
        <v>413</v>
      </c>
      <c r="E29" s="175">
        <f>SUM(E22:E28)</f>
        <v>299250</v>
      </c>
    </row>
    <row r="30" spans="3:16">
      <c r="C30" s="167"/>
      <c r="E30" s="177"/>
      <c r="I30" s="185" t="s">
        <v>414</v>
      </c>
      <c r="J30" s="186"/>
      <c r="K30" s="186"/>
      <c r="L30" s="186"/>
      <c r="M30" s="186"/>
      <c r="N30" s="186"/>
      <c r="O30" s="187"/>
    </row>
    <row r="31" spans="3:16" ht="15" thickBot="1">
      <c r="C31" s="167"/>
      <c r="E31" s="177"/>
      <c r="I31" s="188" t="s">
        <v>415</v>
      </c>
      <c r="J31" s="189"/>
      <c r="K31" s="189"/>
      <c r="L31" s="189"/>
      <c r="M31" s="189"/>
      <c r="N31" s="189"/>
      <c r="O31" s="190"/>
    </row>
    <row r="32" spans="3:16">
      <c r="C32" s="167"/>
      <c r="E32" s="177"/>
    </row>
    <row r="33" spans="2:17">
      <c r="C33" s="167"/>
      <c r="E33" s="177"/>
    </row>
    <row r="34" spans="2:17" ht="10.5" customHeight="1" thickBot="1"/>
    <row r="35" spans="2:17" ht="15" thickBot="1">
      <c r="B35" s="191" t="s">
        <v>416</v>
      </c>
      <c r="C35" s="192"/>
      <c r="D35" s="192"/>
      <c r="E35" s="192"/>
      <c r="F35" s="192"/>
      <c r="G35" s="192"/>
      <c r="H35" s="192"/>
      <c r="I35" s="193"/>
      <c r="L35" s="194" t="s">
        <v>417</v>
      </c>
      <c r="M35" s="195"/>
      <c r="N35" s="195"/>
      <c r="O35" s="195"/>
      <c r="P35" s="195"/>
      <c r="Q35" s="196"/>
    </row>
    <row r="36" spans="2:17">
      <c r="B36" s="197"/>
      <c r="C36" s="161"/>
      <c r="D36" s="161"/>
      <c r="E36" s="161"/>
      <c r="F36" s="161"/>
      <c r="G36" s="161"/>
      <c r="H36" s="161"/>
      <c r="I36" s="198"/>
      <c r="L36" s="199" t="s">
        <v>418</v>
      </c>
      <c r="M36" s="186"/>
      <c r="N36" s="186"/>
      <c r="O36" s="186"/>
      <c r="P36" s="186"/>
      <c r="Q36" s="200">
        <v>10000</v>
      </c>
    </row>
    <row r="37" spans="2:17">
      <c r="B37" s="197" t="s">
        <v>419</v>
      </c>
      <c r="C37" s="161" t="s">
        <v>420</v>
      </c>
      <c r="D37" s="161"/>
      <c r="E37" s="161"/>
      <c r="F37" s="161"/>
      <c r="G37" s="201">
        <v>0.4</v>
      </c>
      <c r="H37" s="202">
        <v>4000</v>
      </c>
      <c r="I37" s="198"/>
      <c r="L37" s="203" t="s">
        <v>421</v>
      </c>
      <c r="M37" s="161"/>
      <c r="N37" s="161"/>
      <c r="O37" s="161"/>
      <c r="P37" s="161"/>
      <c r="Q37" s="204">
        <v>100000</v>
      </c>
    </row>
    <row r="38" spans="2:17">
      <c r="B38" s="197"/>
      <c r="C38" s="161"/>
      <c r="D38" s="161"/>
      <c r="E38" s="161"/>
      <c r="F38" s="161"/>
      <c r="G38" s="161"/>
      <c r="H38" s="205">
        <v>10000</v>
      </c>
      <c r="I38" s="198"/>
      <c r="L38" s="203" t="s">
        <v>422</v>
      </c>
      <c r="M38" s="161"/>
      <c r="N38" s="161"/>
      <c r="O38" s="161"/>
      <c r="P38" s="161"/>
      <c r="Q38" s="204">
        <v>50000</v>
      </c>
    </row>
    <row r="39" spans="2:17">
      <c r="B39" s="197"/>
      <c r="C39" s="161"/>
      <c r="D39" s="161"/>
      <c r="E39" s="161"/>
      <c r="F39" s="161"/>
      <c r="G39" s="161"/>
      <c r="H39" s="205"/>
      <c r="I39" s="198"/>
      <c r="L39" s="203" t="s">
        <v>331</v>
      </c>
      <c r="M39" s="161"/>
      <c r="N39" s="161"/>
      <c r="O39" s="161"/>
      <c r="P39" s="161"/>
      <c r="Q39" s="204">
        <v>100000</v>
      </c>
    </row>
    <row r="40" spans="2:17" ht="15" thickBot="1">
      <c r="B40" s="197"/>
      <c r="C40" s="161"/>
      <c r="D40" s="161"/>
      <c r="E40" s="161"/>
      <c r="F40" s="161"/>
      <c r="G40" s="161"/>
      <c r="H40" s="205"/>
      <c r="I40" s="198"/>
      <c r="L40" s="206" t="s">
        <v>332</v>
      </c>
      <c r="M40" s="189"/>
      <c r="N40" s="189"/>
      <c r="O40" s="189"/>
      <c r="P40" s="189"/>
      <c r="Q40" s="207">
        <v>-65000</v>
      </c>
    </row>
    <row r="41" spans="2:17">
      <c r="B41" s="197" t="s">
        <v>423</v>
      </c>
      <c r="C41" s="161" t="s">
        <v>424</v>
      </c>
      <c r="D41" s="161"/>
      <c r="E41" s="161"/>
      <c r="F41" s="161"/>
      <c r="G41" s="208">
        <f>(4000+3500)/20000</f>
        <v>0.375</v>
      </c>
      <c r="H41" s="202" t="s">
        <v>425</v>
      </c>
      <c r="I41" s="198"/>
    </row>
    <row r="42" spans="2:17">
      <c r="B42" s="197"/>
      <c r="C42" s="161" t="s">
        <v>426</v>
      </c>
      <c r="D42" s="161"/>
      <c r="E42" s="161"/>
      <c r="F42" s="161"/>
      <c r="G42" s="161"/>
      <c r="H42" s="205" t="s">
        <v>427</v>
      </c>
      <c r="I42" s="198"/>
    </row>
    <row r="43" spans="2:17">
      <c r="B43" s="197"/>
      <c r="C43" s="161"/>
      <c r="D43" s="161"/>
      <c r="E43" s="161"/>
      <c r="F43" s="161"/>
      <c r="G43" s="161"/>
      <c r="H43" s="205"/>
      <c r="I43" s="198"/>
    </row>
    <row r="44" spans="2:17">
      <c r="B44" s="197" t="s">
        <v>411</v>
      </c>
      <c r="C44" s="161" t="s">
        <v>428</v>
      </c>
      <c r="D44" s="161"/>
      <c r="E44" s="161"/>
      <c r="F44" s="161"/>
      <c r="G44" s="209">
        <f>G41-17.5%</f>
        <v>0.2</v>
      </c>
      <c r="H44" s="202">
        <v>4000</v>
      </c>
      <c r="I44" s="198"/>
    </row>
    <row r="45" spans="2:17">
      <c r="B45" s="197"/>
      <c r="C45" s="161"/>
      <c r="D45" s="161"/>
      <c r="E45" s="161"/>
      <c r="F45" s="161"/>
      <c r="G45" s="161"/>
      <c r="H45" s="205">
        <v>20000</v>
      </c>
      <c r="I45" s="198"/>
    </row>
    <row r="46" spans="2:17">
      <c r="B46" s="210"/>
      <c r="C46" s="169"/>
      <c r="D46" s="169"/>
      <c r="E46" s="169"/>
      <c r="F46" s="169"/>
      <c r="G46" s="169"/>
      <c r="H46" s="202"/>
      <c r="I46" s="211"/>
    </row>
    <row r="48" spans="2:17">
      <c r="C48" s="212" t="s">
        <v>429</v>
      </c>
    </row>
    <row r="50" spans="3:14">
      <c r="C50" s="143" t="s">
        <v>430</v>
      </c>
      <c r="E50" s="177">
        <f>SUM(Q36:Q40)</f>
        <v>195000</v>
      </c>
    </row>
    <row r="51" spans="3:14">
      <c r="C51" s="143" t="s">
        <v>431</v>
      </c>
      <c r="E51" s="177">
        <f>-(100000+100000*10%*3)</f>
        <v>-130000</v>
      </c>
      <c r="H51" s="143" t="s">
        <v>432</v>
      </c>
    </row>
    <row r="52" spans="3:14">
      <c r="C52" s="143" t="s">
        <v>433</v>
      </c>
      <c r="E52" s="177">
        <f>-Q38</f>
        <v>-50000</v>
      </c>
    </row>
    <row r="53" spans="3:14">
      <c r="C53" s="143" t="s">
        <v>434</v>
      </c>
      <c r="E53" s="213">
        <f>SUM(E50:E52)</f>
        <v>15000</v>
      </c>
      <c r="J53" s="214"/>
    </row>
    <row r="54" spans="3:14">
      <c r="E54" s="177"/>
    </row>
    <row r="55" spans="3:14">
      <c r="C55" s="143" t="s">
        <v>435</v>
      </c>
      <c r="E55" s="177">
        <f>75%*(150000-150000*9/10)</f>
        <v>11250</v>
      </c>
      <c r="H55" s="143" t="s">
        <v>436</v>
      </c>
    </row>
    <row r="56" spans="3:14" ht="15" thickBot="1">
      <c r="C56" s="143" t="s">
        <v>437</v>
      </c>
      <c r="E56" s="215">
        <f>E55+E53</f>
        <v>26250</v>
      </c>
    </row>
    <row r="57" spans="3:14" ht="15" thickTop="1"/>
    <row r="59" spans="3:14">
      <c r="C59" s="172" t="s">
        <v>438</v>
      </c>
      <c r="E59" s="177"/>
    </row>
    <row r="60" spans="3:14">
      <c r="C60" s="143" t="s">
        <v>439</v>
      </c>
      <c r="D60" s="177">
        <f>350000-20000+12000</f>
        <v>342000</v>
      </c>
      <c r="E60" s="177"/>
      <c r="G60" s="143" t="s">
        <v>440</v>
      </c>
    </row>
    <row r="61" spans="3:14">
      <c r="C61" s="143" t="s">
        <v>441</v>
      </c>
      <c r="D61" s="177">
        <f>E56*40%</f>
        <v>10500</v>
      </c>
      <c r="G61" s="143" t="s">
        <v>442</v>
      </c>
    </row>
    <row r="62" spans="3:14">
      <c r="D62" s="213">
        <f>D60-D61</f>
        <v>331500</v>
      </c>
    </row>
    <row r="63" spans="3:14">
      <c r="M63" s="216" t="s">
        <v>443</v>
      </c>
      <c r="N63" s="217">
        <v>-0.25</v>
      </c>
    </row>
    <row r="64" spans="3:14">
      <c r="M64" s="210" t="s">
        <v>444</v>
      </c>
      <c r="N64" s="218">
        <v>-0.15</v>
      </c>
    </row>
    <row r="65" spans="2:17">
      <c r="D65" s="212" t="s">
        <v>310</v>
      </c>
      <c r="G65" s="219">
        <f>+G41/G37</f>
        <v>0.9375</v>
      </c>
      <c r="J65" s="220">
        <f>G44/G41</f>
        <v>0.53333333333333333</v>
      </c>
    </row>
    <row r="66" spans="2:17" s="221" customFormat="1" ht="42.75">
      <c r="G66" s="222" t="s">
        <v>445</v>
      </c>
      <c r="J66" s="222" t="s">
        <v>445</v>
      </c>
    </row>
    <row r="67" spans="2:17" s="223" customFormat="1" ht="15">
      <c r="D67" s="223" t="s">
        <v>419</v>
      </c>
      <c r="E67" s="223" t="s">
        <v>446</v>
      </c>
      <c r="F67" s="223" t="s">
        <v>447</v>
      </c>
      <c r="G67" s="223" t="s">
        <v>423</v>
      </c>
      <c r="H67" s="223" t="s">
        <v>446</v>
      </c>
      <c r="I67" s="223" t="s">
        <v>448</v>
      </c>
      <c r="J67" s="223" t="s">
        <v>411</v>
      </c>
      <c r="K67" s="223" t="s">
        <v>446</v>
      </c>
      <c r="L67" s="223" t="s">
        <v>177</v>
      </c>
    </row>
    <row r="68" spans="2:17">
      <c r="B68" s="143" t="s">
        <v>449</v>
      </c>
      <c r="D68" s="177">
        <f>H86*40%</f>
        <v>80000</v>
      </c>
      <c r="E68" s="177">
        <f>F68-D68</f>
        <v>-80000</v>
      </c>
      <c r="F68" s="177">
        <f>G105</f>
        <v>0</v>
      </c>
      <c r="G68" s="177">
        <f>F68*$G$65</f>
        <v>0</v>
      </c>
      <c r="H68" s="177">
        <f>I68-G68</f>
        <v>56250</v>
      </c>
      <c r="I68" s="177">
        <f>G115</f>
        <v>56250</v>
      </c>
      <c r="J68" s="177">
        <f>I68*$J$65</f>
        <v>30000</v>
      </c>
      <c r="K68" s="177">
        <f>L68-J68</f>
        <v>-15000</v>
      </c>
      <c r="L68" s="177">
        <f>G125</f>
        <v>15000</v>
      </c>
      <c r="M68" s="177"/>
    </row>
    <row r="69" spans="2:17">
      <c r="B69" s="143" t="s">
        <v>167</v>
      </c>
      <c r="D69" s="177">
        <f>D68*$N$63</f>
        <v>-20000</v>
      </c>
      <c r="E69" s="177">
        <f t="shared" ref="E69:E75" si="0">F69-D69</f>
        <v>20000</v>
      </c>
      <c r="F69" s="177">
        <f t="shared" ref="F69:L69" si="1">F68*$N$63</f>
        <v>0</v>
      </c>
      <c r="G69" s="177">
        <f t="shared" ref="G69:G75" si="2">F69*$G$65</f>
        <v>0</v>
      </c>
      <c r="H69" s="177">
        <f t="shared" ref="H69:H75" si="3">I69-G69</f>
        <v>-14062.5</v>
      </c>
      <c r="I69" s="177">
        <f t="shared" si="1"/>
        <v>-14062.5</v>
      </c>
      <c r="J69" s="177">
        <f t="shared" ref="J69:J75" si="4">I69*$J$65</f>
        <v>-7500</v>
      </c>
      <c r="K69" s="177">
        <f t="shared" si="1"/>
        <v>3750</v>
      </c>
      <c r="L69" s="177">
        <f t="shared" si="1"/>
        <v>-3750</v>
      </c>
      <c r="M69" s="177"/>
    </row>
    <row r="70" spans="2:17">
      <c r="B70" s="143" t="s">
        <v>450</v>
      </c>
      <c r="D70" s="177">
        <f>G86*40%</f>
        <v>80000</v>
      </c>
      <c r="E70" s="177">
        <f t="shared" si="0"/>
        <v>-80000</v>
      </c>
      <c r="F70" s="177">
        <f>M105</f>
        <v>0</v>
      </c>
      <c r="G70" s="177">
        <f t="shared" si="2"/>
        <v>0</v>
      </c>
      <c r="H70" s="177">
        <f t="shared" si="3"/>
        <v>56250</v>
      </c>
      <c r="I70" s="177">
        <f>M115</f>
        <v>56250</v>
      </c>
      <c r="J70" s="177">
        <f t="shared" si="4"/>
        <v>30000</v>
      </c>
      <c r="K70" s="177">
        <f>L70-J70</f>
        <v>10000</v>
      </c>
      <c r="L70" s="177">
        <f>M125</f>
        <v>40000</v>
      </c>
      <c r="M70" s="177"/>
    </row>
    <row r="71" spans="2:17">
      <c r="B71" s="143" t="s">
        <v>167</v>
      </c>
      <c r="D71" s="177">
        <f>D70*$N$64</f>
        <v>-12000</v>
      </c>
      <c r="E71" s="177">
        <f t="shared" si="0"/>
        <v>12000</v>
      </c>
      <c r="F71" s="177">
        <f t="shared" ref="F71:L71" si="5">F70*$N$64</f>
        <v>0</v>
      </c>
      <c r="G71" s="177">
        <f t="shared" si="2"/>
        <v>0</v>
      </c>
      <c r="H71" s="177">
        <f t="shared" si="3"/>
        <v>-8437.5</v>
      </c>
      <c r="I71" s="177">
        <f t="shared" si="5"/>
        <v>-8437.5</v>
      </c>
      <c r="J71" s="177">
        <f t="shared" si="4"/>
        <v>-4500</v>
      </c>
      <c r="K71" s="177">
        <f>L71-J71</f>
        <v>-1500</v>
      </c>
      <c r="L71" s="177">
        <f t="shared" si="5"/>
        <v>-6000</v>
      </c>
      <c r="M71" s="177"/>
      <c r="O71" s="216" t="s">
        <v>451</v>
      </c>
      <c r="P71" s="192"/>
      <c r="Q71" s="193"/>
    </row>
    <row r="72" spans="2:17">
      <c r="B72" s="143" t="s">
        <v>452</v>
      </c>
      <c r="D72" s="177">
        <f>-(2*100000-100000)*40%</f>
        <v>-40000</v>
      </c>
      <c r="E72" s="177">
        <f t="shared" si="0"/>
        <v>0</v>
      </c>
      <c r="F72" s="177">
        <f>D72</f>
        <v>-40000</v>
      </c>
      <c r="G72" s="177">
        <f t="shared" si="2"/>
        <v>-37500</v>
      </c>
      <c r="H72" s="177">
        <f t="shared" si="3"/>
        <v>0</v>
      </c>
      <c r="I72" s="177">
        <f>G72</f>
        <v>-37500</v>
      </c>
      <c r="J72" s="177">
        <f t="shared" si="4"/>
        <v>-20000</v>
      </c>
      <c r="K72" s="177">
        <f>-J72</f>
        <v>20000</v>
      </c>
      <c r="L72" s="177">
        <f>0</f>
        <v>0</v>
      </c>
      <c r="M72" s="177"/>
      <c r="O72" s="197" t="s">
        <v>453</v>
      </c>
      <c r="P72" s="161"/>
      <c r="Q72" s="198"/>
    </row>
    <row r="73" spans="2:17">
      <c r="B73" s="143" t="s">
        <v>454</v>
      </c>
      <c r="D73" s="177">
        <f>-35000*40%</f>
        <v>-14000</v>
      </c>
      <c r="E73" s="177">
        <f t="shared" si="0"/>
        <v>10800</v>
      </c>
      <c r="F73" s="177">
        <f>-(35000-27000)*40%</f>
        <v>-3200</v>
      </c>
      <c r="G73" s="177">
        <f t="shared" si="2"/>
        <v>-3000</v>
      </c>
      <c r="H73" s="177">
        <f t="shared" si="3"/>
        <v>3000</v>
      </c>
      <c r="I73" s="177">
        <f>0</f>
        <v>0</v>
      </c>
      <c r="J73" s="177">
        <f t="shared" si="4"/>
        <v>0</v>
      </c>
      <c r="K73" s="177">
        <f>L73-J73</f>
        <v>0</v>
      </c>
      <c r="L73" s="177">
        <f>0</f>
        <v>0</v>
      </c>
      <c r="M73" s="177"/>
      <c r="O73" s="210" t="s">
        <v>455</v>
      </c>
      <c r="P73" s="169"/>
      <c r="Q73" s="211"/>
    </row>
    <row r="74" spans="2:17">
      <c r="B74" s="143" t="s">
        <v>167</v>
      </c>
      <c r="D74" s="182">
        <f>D73*$N$63</f>
        <v>3500</v>
      </c>
      <c r="E74" s="182">
        <f t="shared" ref="E74:L74" si="6">E73*$N$63</f>
        <v>-2700</v>
      </c>
      <c r="F74" s="182">
        <f t="shared" si="6"/>
        <v>800</v>
      </c>
      <c r="G74" s="182">
        <f t="shared" si="6"/>
        <v>750</v>
      </c>
      <c r="H74" s="182">
        <f t="shared" si="6"/>
        <v>-750</v>
      </c>
      <c r="I74" s="182">
        <f t="shared" si="6"/>
        <v>0</v>
      </c>
      <c r="J74" s="182">
        <f t="shared" si="6"/>
        <v>0</v>
      </c>
      <c r="K74" s="182">
        <f t="shared" si="6"/>
        <v>0</v>
      </c>
      <c r="L74" s="182">
        <f t="shared" si="6"/>
        <v>0</v>
      </c>
      <c r="M74" s="177"/>
    </row>
    <row r="75" spans="2:17">
      <c r="B75" s="143" t="s">
        <v>456</v>
      </c>
      <c r="D75" s="180">
        <f>D76-D74-D73-D72-D71-D70-D69-D68</f>
        <v>254000</v>
      </c>
      <c r="E75" s="180">
        <f t="shared" si="0"/>
        <v>0</v>
      </c>
      <c r="F75" s="180">
        <f>D75</f>
        <v>254000</v>
      </c>
      <c r="G75" s="180">
        <f t="shared" si="2"/>
        <v>238125</v>
      </c>
      <c r="H75" s="180">
        <f t="shared" si="3"/>
        <v>0</v>
      </c>
      <c r="I75" s="180">
        <f>G75</f>
        <v>238125</v>
      </c>
      <c r="J75" s="180">
        <f t="shared" si="4"/>
        <v>127000</v>
      </c>
      <c r="K75" s="180">
        <f t="shared" ref="K75" si="7">L75-J75</f>
        <v>0</v>
      </c>
      <c r="L75" s="180">
        <f>J75</f>
        <v>127000</v>
      </c>
      <c r="M75" s="177"/>
    </row>
    <row r="76" spans="2:17" ht="15">
      <c r="D76" s="177">
        <f>D62</f>
        <v>331500</v>
      </c>
      <c r="E76" s="175">
        <f t="shared" ref="E76:L76" si="8">SUM(E68:E75)</f>
        <v>-119900</v>
      </c>
      <c r="F76" s="177">
        <f t="shared" si="8"/>
        <v>211600</v>
      </c>
      <c r="G76" s="177">
        <f t="shared" si="8"/>
        <v>198375</v>
      </c>
      <c r="H76" s="175">
        <f t="shared" si="8"/>
        <v>92250</v>
      </c>
      <c r="I76" s="177">
        <f t="shared" si="8"/>
        <v>290625</v>
      </c>
      <c r="J76" s="177">
        <f t="shared" si="8"/>
        <v>155000</v>
      </c>
      <c r="K76" s="175">
        <f t="shared" si="8"/>
        <v>17250</v>
      </c>
      <c r="L76" s="177">
        <f t="shared" si="8"/>
        <v>172250</v>
      </c>
      <c r="M76" s="177"/>
    </row>
    <row r="78" spans="2:17">
      <c r="D78" s="214"/>
    </row>
    <row r="79" spans="2:17">
      <c r="D79" s="214"/>
    </row>
    <row r="82" spans="3:15" ht="15">
      <c r="D82" s="216"/>
      <c r="E82" s="192"/>
      <c r="F82" s="192"/>
      <c r="G82" s="224" t="s">
        <v>168</v>
      </c>
      <c r="H82" s="225" t="s">
        <v>166</v>
      </c>
    </row>
    <row r="83" spans="3:15">
      <c r="D83" s="197" t="s">
        <v>457</v>
      </c>
      <c r="E83" s="161"/>
      <c r="F83" s="161" t="s">
        <v>458</v>
      </c>
      <c r="G83" s="182">
        <f>500*1000</f>
        <v>500000</v>
      </c>
      <c r="H83" s="226">
        <f>2000*3/4*1000</f>
        <v>1500000</v>
      </c>
    </row>
    <row r="84" spans="3:15">
      <c r="D84" s="197"/>
      <c r="E84" s="161"/>
      <c r="F84" s="161" t="s">
        <v>419</v>
      </c>
      <c r="G84" s="182">
        <f>500*1000</f>
        <v>500000</v>
      </c>
      <c r="H84" s="226">
        <f>H83*8/10</f>
        <v>1200000</v>
      </c>
    </row>
    <row r="85" spans="3:15">
      <c r="D85" s="197" t="s">
        <v>459</v>
      </c>
      <c r="E85" s="161"/>
      <c r="F85" s="161" t="s">
        <v>419</v>
      </c>
      <c r="G85" s="182">
        <f>2100000-H85</f>
        <v>700000</v>
      </c>
      <c r="H85" s="226">
        <f>2100*2/3*1000</f>
        <v>1400000</v>
      </c>
    </row>
    <row r="86" spans="3:15">
      <c r="D86" s="210" t="s">
        <v>460</v>
      </c>
      <c r="E86" s="169"/>
      <c r="F86" s="169"/>
      <c r="G86" s="180">
        <f>G85-G84</f>
        <v>200000</v>
      </c>
      <c r="H86" s="227">
        <f>H85-H84</f>
        <v>200000</v>
      </c>
    </row>
    <row r="89" spans="3:15" ht="15">
      <c r="D89" s="228" t="s">
        <v>461</v>
      </c>
      <c r="E89" s="224" t="s">
        <v>462</v>
      </c>
      <c r="F89" s="224" t="s">
        <v>463</v>
      </c>
      <c r="G89" s="225" t="s">
        <v>14</v>
      </c>
    </row>
    <row r="90" spans="3:15">
      <c r="D90" s="197" t="s">
        <v>402</v>
      </c>
      <c r="E90" s="182">
        <v>1000000</v>
      </c>
      <c r="F90" s="182">
        <v>400000</v>
      </c>
      <c r="G90" s="226">
        <v>1400000</v>
      </c>
      <c r="L90" s="177"/>
      <c r="M90" s="177"/>
      <c r="N90" s="177"/>
      <c r="O90" s="177"/>
    </row>
    <row r="91" spans="3:15">
      <c r="D91" s="197" t="s">
        <v>407</v>
      </c>
      <c r="E91" s="229">
        <v>1350000</v>
      </c>
      <c r="F91" s="229">
        <v>650000</v>
      </c>
      <c r="G91" s="226">
        <v>2000000</v>
      </c>
      <c r="L91" s="177"/>
      <c r="M91" s="177"/>
      <c r="N91" s="177"/>
      <c r="O91" s="177"/>
    </row>
    <row r="92" spans="3:15">
      <c r="D92" s="210" t="s">
        <v>413</v>
      </c>
      <c r="E92" s="230">
        <v>825000</v>
      </c>
      <c r="F92" s="230">
        <v>1675000</v>
      </c>
      <c r="G92" s="227">
        <v>2500000</v>
      </c>
      <c r="L92" s="177"/>
      <c r="M92" s="177"/>
      <c r="N92" s="177"/>
      <c r="O92" s="177"/>
    </row>
    <row r="93" spans="3:15">
      <c r="E93" s="231"/>
      <c r="I93" s="232"/>
      <c r="J93" s="232"/>
      <c r="K93" s="232"/>
      <c r="L93" s="177"/>
      <c r="M93" s="177"/>
      <c r="N93" s="177"/>
      <c r="O93" s="177"/>
    </row>
    <row r="94" spans="3:15">
      <c r="I94" s="177"/>
      <c r="J94" s="177"/>
      <c r="K94" s="177"/>
      <c r="L94" s="177"/>
      <c r="M94" s="177"/>
      <c r="N94" s="177"/>
      <c r="O94" s="177"/>
    </row>
    <row r="95" spans="3:15" ht="15">
      <c r="D95" s="141" t="s">
        <v>464</v>
      </c>
      <c r="I95" s="177"/>
      <c r="J95" s="141" t="s">
        <v>463</v>
      </c>
      <c r="O95" s="177"/>
    </row>
    <row r="96" spans="3:15">
      <c r="C96" s="233"/>
      <c r="H96" s="148" t="s">
        <v>465</v>
      </c>
      <c r="I96" s="177"/>
      <c r="N96" s="148" t="s">
        <v>465</v>
      </c>
      <c r="O96" s="177"/>
    </row>
    <row r="97" spans="4:15">
      <c r="D97" s="169" t="s">
        <v>466</v>
      </c>
      <c r="E97" s="169"/>
      <c r="F97" s="169"/>
      <c r="G97" s="177"/>
      <c r="I97" s="177"/>
      <c r="J97" s="169" t="s">
        <v>467</v>
      </c>
      <c r="K97" s="169"/>
      <c r="L97" s="169"/>
      <c r="M97" s="177"/>
      <c r="O97" s="177"/>
    </row>
    <row r="98" spans="4:15">
      <c r="G98" s="177"/>
      <c r="I98" s="177"/>
      <c r="M98" s="177"/>
      <c r="O98" s="177"/>
    </row>
    <row r="99" spans="4:15">
      <c r="E99" s="143" t="s">
        <v>468</v>
      </c>
      <c r="F99" s="143" t="s">
        <v>469</v>
      </c>
      <c r="G99" s="177">
        <f>H83*7/10</f>
        <v>1050000</v>
      </c>
      <c r="H99" s="144">
        <f>G37</f>
        <v>0.4</v>
      </c>
      <c r="I99" s="177"/>
      <c r="K99" s="143" t="s">
        <v>468</v>
      </c>
      <c r="L99" s="143" t="s">
        <v>469</v>
      </c>
      <c r="M99" s="177">
        <f>G83</f>
        <v>500000</v>
      </c>
      <c r="N99" s="144">
        <f>H99</f>
        <v>0.4</v>
      </c>
      <c r="O99" s="177"/>
    </row>
    <row r="100" spans="4:15">
      <c r="F100" s="143" t="s">
        <v>470</v>
      </c>
      <c r="G100" s="177">
        <f>E90</f>
        <v>1000000</v>
      </c>
      <c r="L100" s="143" t="s">
        <v>470</v>
      </c>
      <c r="M100" s="177">
        <f>F90</f>
        <v>400000</v>
      </c>
    </row>
    <row r="101" spans="4:15">
      <c r="G101" s="177"/>
      <c r="M101" s="177"/>
    </row>
    <row r="102" spans="4:15">
      <c r="E102" s="143" t="s">
        <v>471</v>
      </c>
      <c r="F102" s="143" t="s">
        <v>469</v>
      </c>
      <c r="G102" s="177">
        <f>H85*7/8</f>
        <v>1225000</v>
      </c>
      <c r="K102" s="143" t="s">
        <v>471</v>
      </c>
      <c r="L102" s="143" t="s">
        <v>469</v>
      </c>
      <c r="M102" s="177">
        <f>G85</f>
        <v>700000</v>
      </c>
    </row>
    <row r="103" spans="4:15">
      <c r="F103" s="143" t="s">
        <v>470</v>
      </c>
      <c r="G103" s="177">
        <f>G100</f>
        <v>1000000</v>
      </c>
      <c r="L103" s="143" t="s">
        <v>470</v>
      </c>
      <c r="M103" s="177">
        <f>M100</f>
        <v>400000</v>
      </c>
    </row>
    <row r="104" spans="4:15">
      <c r="G104" s="177"/>
      <c r="M104" s="177"/>
    </row>
    <row r="105" spans="4:15">
      <c r="E105" s="143" t="s">
        <v>472</v>
      </c>
      <c r="G105" s="177">
        <f>(G103-G100)*H99</f>
        <v>0</v>
      </c>
      <c r="K105" s="143" t="s">
        <v>472</v>
      </c>
      <c r="M105" s="177">
        <f>(M103-M100)*N99</f>
        <v>0</v>
      </c>
    </row>
    <row r="106" spans="4:15">
      <c r="G106" s="177"/>
      <c r="M106" s="177"/>
    </row>
    <row r="107" spans="4:15">
      <c r="D107" s="169" t="s">
        <v>473</v>
      </c>
      <c r="E107" s="169"/>
      <c r="F107" s="169"/>
      <c r="G107" s="177"/>
      <c r="J107" s="169" t="s">
        <v>474</v>
      </c>
      <c r="K107" s="169"/>
      <c r="L107" s="169"/>
      <c r="M107" s="177"/>
    </row>
    <row r="108" spans="4:15">
      <c r="G108" s="177"/>
      <c r="M108" s="177"/>
    </row>
    <row r="109" spans="4:15">
      <c r="E109" s="143" t="s">
        <v>468</v>
      </c>
      <c r="F109" s="143" t="s">
        <v>469</v>
      </c>
      <c r="G109" s="177">
        <f>H83*6/10</f>
        <v>900000</v>
      </c>
      <c r="H109" s="234">
        <f>G41</f>
        <v>0.375</v>
      </c>
      <c r="K109" s="143" t="s">
        <v>468</v>
      </c>
      <c r="L109" s="143" t="s">
        <v>469</v>
      </c>
      <c r="M109" s="177">
        <f>M99</f>
        <v>500000</v>
      </c>
      <c r="N109" s="234">
        <f>H109</f>
        <v>0.375</v>
      </c>
    </row>
    <row r="110" spans="4:15">
      <c r="F110" s="143" t="s">
        <v>470</v>
      </c>
      <c r="G110" s="177">
        <f>E91</f>
        <v>1350000</v>
      </c>
      <c r="L110" s="143" t="s">
        <v>470</v>
      </c>
      <c r="M110" s="177">
        <f>F91</f>
        <v>650000</v>
      </c>
    </row>
    <row r="111" spans="4:15">
      <c r="G111" s="177"/>
      <c r="M111" s="177"/>
    </row>
    <row r="112" spans="4:15">
      <c r="E112" s="143" t="s">
        <v>471</v>
      </c>
      <c r="F112" s="143" t="s">
        <v>469</v>
      </c>
      <c r="G112" s="177">
        <f>H85*6/8</f>
        <v>1050000</v>
      </c>
      <c r="K112" s="143" t="s">
        <v>471</v>
      </c>
      <c r="L112" s="143" t="s">
        <v>469</v>
      </c>
      <c r="M112" s="177">
        <f>G85</f>
        <v>700000</v>
      </c>
    </row>
    <row r="113" spans="4:14">
      <c r="F113" s="143" t="s">
        <v>470</v>
      </c>
      <c r="G113" s="177">
        <f>G110</f>
        <v>1350000</v>
      </c>
      <c r="L113" s="143" t="s">
        <v>470</v>
      </c>
      <c r="M113" s="177">
        <f>M110</f>
        <v>650000</v>
      </c>
    </row>
    <row r="114" spans="4:14">
      <c r="G114" s="177"/>
      <c r="M114" s="177"/>
    </row>
    <row r="115" spans="4:14">
      <c r="E115" s="143" t="s">
        <v>472</v>
      </c>
      <c r="G115" s="177">
        <f>(G112-G109)*H109</f>
        <v>56250</v>
      </c>
      <c r="K115" s="143" t="s">
        <v>472</v>
      </c>
      <c r="M115" s="177">
        <f>(M113-M109)*N109</f>
        <v>56250</v>
      </c>
    </row>
    <row r="116" spans="4:14">
      <c r="G116" s="177"/>
      <c r="M116" s="177"/>
    </row>
    <row r="117" spans="4:14">
      <c r="D117" s="169" t="s">
        <v>475</v>
      </c>
      <c r="E117" s="169"/>
      <c r="F117" s="169"/>
      <c r="G117" s="177"/>
      <c r="J117" s="169" t="s">
        <v>476</v>
      </c>
      <c r="K117" s="169"/>
      <c r="L117" s="169"/>
      <c r="M117" s="177"/>
    </row>
    <row r="118" spans="4:14">
      <c r="G118" s="177"/>
      <c r="M118" s="177"/>
    </row>
    <row r="119" spans="4:14">
      <c r="E119" s="143" t="s">
        <v>468</v>
      </c>
      <c r="F119" s="143" t="s">
        <v>469</v>
      </c>
      <c r="G119" s="177">
        <f>H83*5/10</f>
        <v>750000</v>
      </c>
      <c r="H119" s="234">
        <f>G44</f>
        <v>0.2</v>
      </c>
      <c r="K119" s="143" t="s">
        <v>468</v>
      </c>
      <c r="L119" s="143" t="s">
        <v>469</v>
      </c>
      <c r="M119" s="177">
        <f>M99</f>
        <v>500000</v>
      </c>
      <c r="N119" s="234">
        <f>H119</f>
        <v>0.2</v>
      </c>
    </row>
    <row r="120" spans="4:14">
      <c r="F120" s="143" t="s">
        <v>470</v>
      </c>
      <c r="G120" s="177">
        <f>E92</f>
        <v>825000</v>
      </c>
      <c r="L120" s="143" t="s">
        <v>470</v>
      </c>
      <c r="M120" s="177">
        <f>F92</f>
        <v>1675000</v>
      </c>
    </row>
    <row r="121" spans="4:14">
      <c r="G121" s="177"/>
      <c r="M121" s="177"/>
    </row>
    <row r="122" spans="4:14">
      <c r="E122" s="143" t="s">
        <v>471</v>
      </c>
      <c r="F122" s="143" t="s">
        <v>469</v>
      </c>
      <c r="G122" s="177">
        <f>H85*5/8</f>
        <v>875000</v>
      </c>
      <c r="K122" s="143" t="s">
        <v>471</v>
      </c>
      <c r="L122" s="143" t="s">
        <v>469</v>
      </c>
      <c r="M122" s="177">
        <f>G85</f>
        <v>700000</v>
      </c>
    </row>
    <row r="123" spans="4:14">
      <c r="F123" s="143" t="s">
        <v>470</v>
      </c>
      <c r="G123" s="177">
        <f>E92</f>
        <v>825000</v>
      </c>
      <c r="L123" s="143" t="s">
        <v>470</v>
      </c>
      <c r="M123" s="177">
        <f>F92</f>
        <v>1675000</v>
      </c>
    </row>
    <row r="124" spans="4:14">
      <c r="G124" s="177"/>
      <c r="M124" s="177"/>
    </row>
    <row r="125" spans="4:14">
      <c r="E125" s="143" t="s">
        <v>472</v>
      </c>
      <c r="G125" s="177">
        <f>(G123-G119)*H119</f>
        <v>15000</v>
      </c>
      <c r="K125" s="143" t="s">
        <v>472</v>
      </c>
      <c r="M125" s="177">
        <f>(M122-M119)*N119</f>
        <v>40000</v>
      </c>
    </row>
    <row r="128" spans="4:14" ht="15">
      <c r="D128" s="141" t="s">
        <v>477</v>
      </c>
    </row>
    <row r="130" spans="4:5">
      <c r="D130" s="143" t="s">
        <v>478</v>
      </c>
      <c r="E130" s="177"/>
    </row>
    <row r="131" spans="4:5">
      <c r="E131" s="177"/>
    </row>
    <row r="132" spans="4:5">
      <c r="D132" s="143" t="s">
        <v>459</v>
      </c>
      <c r="E132" s="177">
        <v>150000</v>
      </c>
    </row>
    <row r="133" spans="4:5">
      <c r="D133" s="143" t="s">
        <v>457</v>
      </c>
      <c r="E133" s="180">
        <f>150000*8/9</f>
        <v>133333.33333333334</v>
      </c>
    </row>
    <row r="134" spans="4:5">
      <c r="E134" s="177">
        <f>E132-E133</f>
        <v>16666.666666666657</v>
      </c>
    </row>
    <row r="135" spans="4:5">
      <c r="D135" s="143" t="s">
        <v>479</v>
      </c>
      <c r="E135" s="177">
        <f>E134*40%</f>
        <v>6666.6666666666633</v>
      </c>
    </row>
    <row r="136" spans="4:5">
      <c r="D136" s="143" t="s">
        <v>480</v>
      </c>
      <c r="E136" s="177">
        <f>E135*75%</f>
        <v>4999.9999999999973</v>
      </c>
    </row>
    <row r="137" spans="4:5">
      <c r="E137" s="177"/>
    </row>
    <row r="138" spans="4:5">
      <c r="D138" s="143" t="s">
        <v>481</v>
      </c>
      <c r="E138" s="177"/>
    </row>
    <row r="139" spans="4:5">
      <c r="E139" s="177"/>
    </row>
    <row r="140" spans="4:5">
      <c r="D140" s="143" t="s">
        <v>482</v>
      </c>
      <c r="E140" s="177">
        <f>150000*1/9</f>
        <v>16666.666666666668</v>
      </c>
    </row>
    <row r="141" spans="4:5">
      <c r="D141" s="143" t="s">
        <v>483</v>
      </c>
      <c r="E141" s="180">
        <f>150000*1/10</f>
        <v>15000</v>
      </c>
    </row>
    <row r="142" spans="4:5">
      <c r="E142" s="177">
        <f>E140-E141</f>
        <v>1666.6666666666679</v>
      </c>
    </row>
    <row r="143" spans="4:5">
      <c r="D143" s="143" t="s">
        <v>479</v>
      </c>
      <c r="E143" s="177">
        <f>E142*40%</f>
        <v>666.6666666666672</v>
      </c>
    </row>
    <row r="144" spans="4:5">
      <c r="D144" s="143" t="s">
        <v>480</v>
      </c>
      <c r="E144" s="177">
        <f>E143*75%</f>
        <v>500.0000000000004</v>
      </c>
    </row>
    <row r="145" spans="3:11">
      <c r="E145" s="177"/>
    </row>
    <row r="146" spans="3:11">
      <c r="E146" s="177"/>
    </row>
    <row r="147" spans="3:11" ht="18.75">
      <c r="C147" s="171" t="s">
        <v>484</v>
      </c>
      <c r="D147" s="141" t="s">
        <v>485</v>
      </c>
      <c r="E147" s="177"/>
    </row>
    <row r="148" spans="3:11">
      <c r="E148" s="177"/>
    </row>
    <row r="149" spans="3:11">
      <c r="D149" s="143" t="s">
        <v>486</v>
      </c>
      <c r="E149" s="177">
        <f>40%*(195000+150000-84000-50000-100000)</f>
        <v>44400</v>
      </c>
      <c r="K149" s="143" t="s">
        <v>487</v>
      </c>
    </row>
    <row r="150" spans="3:11">
      <c r="D150" s="143" t="s">
        <v>488</v>
      </c>
      <c r="E150" s="177">
        <f>F76</f>
        <v>211600</v>
      </c>
    </row>
    <row r="151" spans="3:11">
      <c r="D151" s="143" t="s">
        <v>489</v>
      </c>
      <c r="E151" s="180">
        <f>40%*(150000-150000*8/10)*75%</f>
        <v>9000</v>
      </c>
      <c r="K151" s="143" t="s">
        <v>490</v>
      </c>
    </row>
    <row r="152" spans="3:11">
      <c r="E152" s="177">
        <f>SUM(E149:E151)</f>
        <v>265000</v>
      </c>
    </row>
    <row r="153" spans="3:11">
      <c r="E153" s="177"/>
    </row>
    <row r="154" spans="3:11">
      <c r="E154" s="177"/>
    </row>
    <row r="155" spans="3:11">
      <c r="D155" s="212" t="s">
        <v>491</v>
      </c>
      <c r="E155" s="177"/>
    </row>
    <row r="156" spans="3:11">
      <c r="E156" s="177"/>
    </row>
    <row r="157" spans="3:11">
      <c r="D157" s="143" t="s">
        <v>492</v>
      </c>
      <c r="E157" s="177">
        <f>37.5%*(195000+150000-84000-50000-100000+400000)</f>
        <v>191625</v>
      </c>
      <c r="K157" s="143" t="s">
        <v>493</v>
      </c>
    </row>
    <row r="158" spans="3:11">
      <c r="D158" s="143" t="s">
        <v>488</v>
      </c>
      <c r="E158" s="177">
        <f>G76</f>
        <v>198375</v>
      </c>
      <c r="I158" s="235"/>
      <c r="K158" s="143" t="s">
        <v>494</v>
      </c>
    </row>
    <row r="159" spans="3:11">
      <c r="D159" s="143" t="s">
        <v>489</v>
      </c>
      <c r="E159" s="180">
        <f>E151*37.5%/40%</f>
        <v>8437.5</v>
      </c>
      <c r="K159" s="143" t="s">
        <v>495</v>
      </c>
    </row>
    <row r="160" spans="3:11">
      <c r="E160" s="214">
        <f>SUM(E157:E159)</f>
        <v>398437.5</v>
      </c>
    </row>
    <row r="162" spans="4:5" ht="15">
      <c r="D162" s="141" t="s">
        <v>496</v>
      </c>
    </row>
    <row r="164" spans="4:5">
      <c r="D164" s="143" t="s">
        <v>478</v>
      </c>
      <c r="E164" s="177"/>
    </row>
    <row r="165" spans="4:5">
      <c r="E165" s="177"/>
    </row>
    <row r="166" spans="4:5">
      <c r="D166" s="143" t="s">
        <v>459</v>
      </c>
      <c r="E166" s="177">
        <v>140000</v>
      </c>
    </row>
    <row r="167" spans="4:5">
      <c r="D167" s="143" t="s">
        <v>457</v>
      </c>
      <c r="E167" s="180">
        <f>E132*7/8</f>
        <v>131250</v>
      </c>
    </row>
    <row r="168" spans="4:5">
      <c r="E168" s="177">
        <f>E166-E167</f>
        <v>8750</v>
      </c>
    </row>
    <row r="169" spans="4:5">
      <c r="D169" s="143" t="s">
        <v>479</v>
      </c>
      <c r="E169" s="177">
        <f>E168*37.5%</f>
        <v>3281.25</v>
      </c>
    </row>
    <row r="170" spans="4:5">
      <c r="D170" s="143" t="s">
        <v>480</v>
      </c>
      <c r="E170" s="177">
        <f>E169*75%</f>
        <v>2460.9375</v>
      </c>
    </row>
    <row r="171" spans="4:5">
      <c r="E171" s="177"/>
    </row>
    <row r="172" spans="4:5">
      <c r="D172" s="143" t="s">
        <v>481</v>
      </c>
      <c r="E172" s="177"/>
    </row>
    <row r="173" spans="4:5">
      <c r="E173" s="177"/>
    </row>
    <row r="174" spans="4:5">
      <c r="D174" s="143" t="s">
        <v>482</v>
      </c>
      <c r="E174" s="177">
        <f>E132*1/8</f>
        <v>18750</v>
      </c>
    </row>
    <row r="175" spans="4:5">
      <c r="D175" s="143" t="s">
        <v>483</v>
      </c>
      <c r="E175" s="180">
        <f>150000*1/10</f>
        <v>15000</v>
      </c>
    </row>
    <row r="176" spans="4:5">
      <c r="E176" s="177">
        <f>E174-E175</f>
        <v>3750</v>
      </c>
    </row>
    <row r="177" spans="3:11">
      <c r="D177" s="143" t="s">
        <v>479</v>
      </c>
      <c r="E177" s="177">
        <f>E176*37.5%</f>
        <v>1406.25</v>
      </c>
    </row>
    <row r="178" spans="3:11">
      <c r="D178" s="143" t="s">
        <v>480</v>
      </c>
      <c r="E178" s="177">
        <f>E177*75%</f>
        <v>1054.6875</v>
      </c>
    </row>
    <row r="181" spans="3:11" ht="18.75">
      <c r="C181" s="171" t="s">
        <v>484</v>
      </c>
      <c r="D181" s="141" t="s">
        <v>497</v>
      </c>
      <c r="E181" s="177"/>
    </row>
    <row r="182" spans="3:11">
      <c r="E182" s="177"/>
    </row>
    <row r="183" spans="3:11">
      <c r="D183" s="143" t="s">
        <v>486</v>
      </c>
      <c r="E183" s="177">
        <f>37.5%*(661000-21300+110000-100000-50000)</f>
        <v>224887.5</v>
      </c>
      <c r="K183" s="143" t="s">
        <v>498</v>
      </c>
    </row>
    <row r="184" spans="3:11">
      <c r="D184" s="143" t="s">
        <v>488</v>
      </c>
      <c r="E184" s="177">
        <f>I76</f>
        <v>290625</v>
      </c>
    </row>
    <row r="185" spans="3:11">
      <c r="D185" s="143" t="s">
        <v>489</v>
      </c>
      <c r="E185" s="180">
        <f>37.5%*(140000-150000*7/10)*75%</f>
        <v>9843.75</v>
      </c>
      <c r="K185" s="143" t="s">
        <v>499</v>
      </c>
    </row>
    <row r="186" spans="3:11">
      <c r="E186" s="177">
        <f>SUM(E183:E185)</f>
        <v>525356.25</v>
      </c>
    </row>
    <row r="189" spans="3:11">
      <c r="D189" s="169" t="s">
        <v>500</v>
      </c>
    </row>
    <row r="190" spans="3:11">
      <c r="D190" s="143" t="s">
        <v>501</v>
      </c>
    </row>
    <row r="191" spans="3:11" ht="15" thickBot="1"/>
    <row r="192" spans="3:11">
      <c r="D192" s="143" t="s">
        <v>502</v>
      </c>
      <c r="F192" s="177">
        <f>100000+100000*10%*0.5</f>
        <v>105000</v>
      </c>
      <c r="G192" s="185" t="s">
        <v>503</v>
      </c>
      <c r="H192" s="187"/>
    </row>
    <row r="193" spans="4:8" ht="15" thickBot="1">
      <c r="D193" s="143" t="s">
        <v>504</v>
      </c>
      <c r="F193" s="180">
        <v>75000</v>
      </c>
      <c r="G193" s="188" t="s">
        <v>505</v>
      </c>
      <c r="H193" s="190"/>
    </row>
    <row r="194" spans="4:8">
      <c r="F194" s="177">
        <f>F192-F193</f>
        <v>30000</v>
      </c>
    </row>
    <row r="195" spans="4:8">
      <c r="F195" s="236">
        <v>0.2</v>
      </c>
    </row>
    <row r="196" spans="4:8">
      <c r="F196" s="214">
        <f>F194*F195</f>
        <v>6000</v>
      </c>
    </row>
    <row r="198" spans="4:8" ht="15">
      <c r="D198" s="141" t="s">
        <v>506</v>
      </c>
    </row>
    <row r="200" spans="4:8">
      <c r="D200" s="143" t="s">
        <v>478</v>
      </c>
    </row>
    <row r="201" spans="4:8">
      <c r="E201" s="177"/>
    </row>
    <row r="202" spans="4:8">
      <c r="D202" s="143" t="s">
        <v>459</v>
      </c>
      <c r="E202" s="177">
        <v>150000</v>
      </c>
    </row>
    <row r="203" spans="4:8">
      <c r="D203" s="143" t="s">
        <v>457</v>
      </c>
      <c r="E203" s="180">
        <f>E166*6/7</f>
        <v>120000</v>
      </c>
    </row>
    <row r="204" spans="4:8">
      <c r="E204" s="177">
        <f>E202-E203</f>
        <v>30000</v>
      </c>
    </row>
    <row r="205" spans="4:8">
      <c r="D205" s="143" t="s">
        <v>479</v>
      </c>
      <c r="E205" s="177">
        <f>E204*20%</f>
        <v>6000</v>
      </c>
    </row>
    <row r="206" spans="4:8">
      <c r="D206" s="143" t="s">
        <v>480</v>
      </c>
      <c r="E206" s="177">
        <f>E205*75%</f>
        <v>4500</v>
      </c>
    </row>
    <row r="207" spans="4:8">
      <c r="E207" s="177"/>
    </row>
    <row r="208" spans="4:8">
      <c r="D208" s="143" t="s">
        <v>481</v>
      </c>
      <c r="E208" s="177"/>
    </row>
    <row r="209" spans="3:11">
      <c r="E209" s="177"/>
    </row>
    <row r="210" spans="3:11">
      <c r="D210" s="143" t="s">
        <v>482</v>
      </c>
      <c r="E210" s="177">
        <f>140000*1/7</f>
        <v>20000</v>
      </c>
    </row>
    <row r="211" spans="3:11">
      <c r="D211" s="143" t="s">
        <v>483</v>
      </c>
      <c r="E211" s="180">
        <f>E175</f>
        <v>15000</v>
      </c>
    </row>
    <row r="212" spans="3:11">
      <c r="E212" s="177">
        <f>E210-E211</f>
        <v>5000</v>
      </c>
    </row>
    <row r="213" spans="3:11">
      <c r="D213" s="143" t="s">
        <v>479</v>
      </c>
      <c r="E213" s="177">
        <f>E212*20%</f>
        <v>1000</v>
      </c>
    </row>
    <row r="214" spans="3:11">
      <c r="D214" s="143" t="s">
        <v>480</v>
      </c>
      <c r="E214" s="177">
        <f>E213*75%</f>
        <v>750</v>
      </c>
    </row>
    <row r="217" spans="3:11" ht="18.75">
      <c r="C217" s="171" t="s">
        <v>484</v>
      </c>
      <c r="D217" s="141" t="s">
        <v>507</v>
      </c>
    </row>
    <row r="219" spans="3:11">
      <c r="D219" s="143" t="s">
        <v>486</v>
      </c>
      <c r="E219" s="182">
        <f>20%*(749700-4700-30000-50000-75000)</f>
        <v>118000</v>
      </c>
      <c r="K219" s="143" t="s">
        <v>508</v>
      </c>
    </row>
    <row r="220" spans="3:11">
      <c r="D220" s="143" t="s">
        <v>488</v>
      </c>
      <c r="E220" s="182">
        <f>L76</f>
        <v>172250</v>
      </c>
    </row>
    <row r="221" spans="3:11">
      <c r="D221" s="143" t="s">
        <v>489</v>
      </c>
      <c r="E221" s="180">
        <f>20%*75%*(150000-150000*6/10)</f>
        <v>9000.0000000000018</v>
      </c>
      <c r="K221" s="143" t="s">
        <v>509</v>
      </c>
    </row>
    <row r="222" spans="3:11">
      <c r="E222" s="177">
        <f>SUM(E219:E221)</f>
        <v>299250</v>
      </c>
    </row>
    <row r="225" spans="3:7" ht="18.75">
      <c r="C225" s="171" t="s">
        <v>510</v>
      </c>
      <c r="D225" s="141" t="s">
        <v>511</v>
      </c>
    </row>
    <row r="227" spans="3:7" ht="15">
      <c r="D227" s="141" t="s">
        <v>512</v>
      </c>
    </row>
    <row r="229" spans="3:7">
      <c r="C229" s="143" t="s">
        <v>513</v>
      </c>
      <c r="D229" s="143" t="s">
        <v>514</v>
      </c>
      <c r="G229" s="145">
        <v>20000</v>
      </c>
    </row>
    <row r="230" spans="3:7">
      <c r="D230" s="143" t="s">
        <v>515</v>
      </c>
      <c r="G230" s="145">
        <v>20000</v>
      </c>
    </row>
    <row r="232" spans="3:7">
      <c r="C232" s="143" t="s">
        <v>516</v>
      </c>
      <c r="D232" s="143" t="s">
        <v>517</v>
      </c>
      <c r="G232" s="145">
        <f>G230</f>
        <v>20000</v>
      </c>
    </row>
    <row r="233" spans="3:7">
      <c r="D233" s="143" t="s">
        <v>518</v>
      </c>
      <c r="G233" s="145">
        <f>G232</f>
        <v>20000</v>
      </c>
    </row>
    <row r="235" spans="3:7" ht="15">
      <c r="D235" s="141" t="s">
        <v>519</v>
      </c>
    </row>
    <row r="237" spans="3:7">
      <c r="C237" s="143" t="str">
        <f>C229</f>
        <v xml:space="preserve">1.1.2011 </v>
      </c>
      <c r="D237" s="143" t="s">
        <v>520</v>
      </c>
      <c r="G237" s="145">
        <v>12000</v>
      </c>
    </row>
    <row r="238" spans="3:7">
      <c r="D238" s="143" t="s">
        <v>521</v>
      </c>
      <c r="G238" s="145">
        <f>G237</f>
        <v>12000</v>
      </c>
    </row>
    <row r="240" spans="3:7">
      <c r="C240" s="143" t="s">
        <v>407</v>
      </c>
      <c r="D240" s="143" t="s">
        <v>522</v>
      </c>
      <c r="G240" s="145">
        <f>G238</f>
        <v>12000</v>
      </c>
    </row>
    <row r="241" spans="4:7">
      <c r="D241" s="143" t="s">
        <v>523</v>
      </c>
      <c r="G241" s="145">
        <v>30000</v>
      </c>
    </row>
    <row r="242" spans="4:7">
      <c r="D242" s="143" t="s">
        <v>524</v>
      </c>
      <c r="G242" s="145">
        <f>G241-G240</f>
        <v>18000</v>
      </c>
    </row>
  </sheetData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2</vt:i4>
      </vt:variant>
    </vt:vector>
  </HeadingPairs>
  <TitlesOfParts>
    <vt:vector size="7" baseType="lpstr">
      <vt:lpstr>פתרון 1</vt:lpstr>
      <vt:lpstr>פתרון 2- השקעה בעדי</vt:lpstr>
      <vt:lpstr>פתרון 2- השקעה בגלי</vt:lpstr>
      <vt:lpstr>פתרון 3</vt:lpstr>
      <vt:lpstr>פתרון 4</vt:lpstr>
      <vt:lpstr>'פתרון 1'!Print_Area</vt:lpstr>
      <vt:lpstr>'פתרון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Albek</dc:creator>
  <cp:lastModifiedBy>MAAYAN</cp:lastModifiedBy>
  <cp:lastPrinted>2013-03-10T08:03:48Z</cp:lastPrinted>
  <dcterms:created xsi:type="dcterms:W3CDTF">2009-01-09T21:20:33Z</dcterms:created>
  <dcterms:modified xsi:type="dcterms:W3CDTF">2014-01-24T16:18:47Z</dcterms:modified>
</cp:coreProperties>
</file>