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3920" windowHeight="5130" activeTab="3"/>
  </bookViews>
  <sheets>
    <sheet name="פתרון 1" sheetId="4" r:id="rId1"/>
    <sheet name="פתרון 2" sheetId="8" r:id="rId2"/>
    <sheet name="פתרון 3" sheetId="6" r:id="rId3"/>
    <sheet name="שאלה 4" sheetId="1" r:id="rId4"/>
  </sheets>
  <definedNames>
    <definedName name="_xlnm.Print_Area" localSheetId="0">'פתרון 1'!$A$1:$G$173</definedName>
  </definedNames>
  <calcPr calcId="125725"/>
</workbook>
</file>

<file path=xl/calcChain.xml><?xml version="1.0" encoding="utf-8"?>
<calcChain xmlns="http://schemas.openxmlformats.org/spreadsheetml/2006/main">
  <c r="F135" i="6"/>
  <c r="F134"/>
  <c r="D130"/>
  <c r="D20"/>
  <c r="F132"/>
  <c r="B195" i="8" l="1"/>
  <c r="B194"/>
  <c r="C19" s="1"/>
  <c r="C186"/>
  <c r="C185"/>
  <c r="C190" s="1"/>
  <c r="C181"/>
  <c r="B167"/>
  <c r="B169" s="1"/>
  <c r="B170" s="1"/>
  <c r="C162"/>
  <c r="C161"/>
  <c r="C163" s="1"/>
  <c r="C164" s="1"/>
  <c r="C14" s="1"/>
  <c r="B155"/>
  <c r="B156" s="1"/>
  <c r="B154"/>
  <c r="B153"/>
  <c r="B151"/>
  <c r="C143"/>
  <c r="C134"/>
  <c r="C12" s="1"/>
  <c r="D132"/>
  <c r="B127"/>
  <c r="C147" s="1"/>
  <c r="C124"/>
  <c r="C122"/>
  <c r="C121"/>
  <c r="C117"/>
  <c r="B104"/>
  <c r="B105" s="1"/>
  <c r="B106" s="1"/>
  <c r="B129" s="1"/>
  <c r="C98"/>
  <c r="C97"/>
  <c r="C99" s="1"/>
  <c r="C100" s="1"/>
  <c r="C6" s="1"/>
  <c r="C91"/>
  <c r="C110" s="1"/>
  <c r="F112" s="1"/>
  <c r="B87"/>
  <c r="B86"/>
  <c r="B84"/>
  <c r="B85" s="1"/>
  <c r="B83"/>
  <c r="C7" s="1"/>
  <c r="C10" s="1"/>
  <c r="B82"/>
  <c r="C74"/>
  <c r="C71"/>
  <c r="C75" s="1"/>
  <c r="C73" s="1"/>
  <c r="B78" s="1"/>
  <c r="C70"/>
  <c r="F62"/>
  <c r="E66" s="1"/>
  <c r="C56"/>
  <c r="C58" s="1"/>
  <c r="E65" s="1"/>
  <c r="E54"/>
  <c r="B49"/>
  <c r="C42"/>
  <c r="C43" s="1"/>
  <c r="C39"/>
  <c r="C31"/>
  <c r="C30"/>
  <c r="C16" s="1"/>
  <c r="C28"/>
  <c r="C13"/>
  <c r="C5"/>
  <c r="C9" l="1"/>
  <c r="C32"/>
  <c r="C191"/>
  <c r="C18" s="1"/>
  <c r="C40"/>
  <c r="C41" s="1"/>
  <c r="E64"/>
  <c r="B77" s="1"/>
  <c r="C142"/>
  <c r="B128"/>
  <c r="C27" s="1"/>
  <c r="B152"/>
  <c r="C15" s="1"/>
  <c r="C8"/>
  <c r="B79" l="1"/>
  <c r="B89" s="1"/>
  <c r="B88" s="1"/>
  <c r="C34" s="1"/>
  <c r="C35" s="1"/>
  <c r="C4"/>
  <c r="C11" s="1"/>
  <c r="C17"/>
  <c r="C33"/>
  <c r="B136"/>
  <c r="C144"/>
  <c r="C148" s="1"/>
  <c r="C146" s="1"/>
  <c r="B137" s="1"/>
  <c r="B199"/>
  <c r="B203" s="1"/>
  <c r="B201" s="1"/>
  <c r="C38" s="1"/>
  <c r="C20" l="1"/>
  <c r="C21" s="1"/>
  <c r="B50" s="1"/>
  <c r="B51" s="1"/>
  <c r="C138"/>
  <c r="C139" s="1"/>
  <c r="B158" s="1"/>
  <c r="B157" s="1"/>
  <c r="C45" s="1"/>
  <c r="C46" s="1"/>
  <c r="C22" l="1"/>
  <c r="E249" i="6" l="1"/>
  <c r="D246"/>
  <c r="E242"/>
  <c r="D242"/>
  <c r="D239"/>
  <c r="D233"/>
  <c r="D229"/>
  <c r="D228"/>
  <c r="D218"/>
  <c r="D214"/>
  <c r="D208"/>
  <c r="D206"/>
  <c r="D202"/>
  <c r="D201"/>
  <c r="D197"/>
  <c r="D180"/>
  <c r="D179"/>
  <c r="D175"/>
  <c r="D174"/>
  <c r="D176" s="1"/>
  <c r="D165" s="1"/>
  <c r="D166" s="1"/>
  <c r="D182" s="1"/>
  <c r="D181" s="1"/>
  <c r="D171"/>
  <c r="D170"/>
  <c r="D169"/>
  <c r="D164"/>
  <c r="D160"/>
  <c r="D158"/>
  <c r="D157"/>
  <c r="D156"/>
  <c r="D151"/>
  <c r="D149"/>
  <c r="K27" s="1"/>
  <c r="D145"/>
  <c r="D144"/>
  <c r="D140"/>
  <c r="D126"/>
  <c r="D124"/>
  <c r="D122"/>
  <c r="D123" s="1"/>
  <c r="D117"/>
  <c r="D115"/>
  <c r="D110"/>
  <c r="D109"/>
  <c r="D105"/>
  <c r="D100"/>
  <c r="E101" s="1"/>
  <c r="D97"/>
  <c r="D88"/>
  <c r="D10" s="1"/>
  <c r="D86"/>
  <c r="D85" s="1"/>
  <c r="D84"/>
  <c r="D79"/>
  <c r="D77"/>
  <c r="D72"/>
  <c r="D68"/>
  <c r="E64"/>
  <c r="D55"/>
  <c r="D54"/>
  <c r="D50"/>
  <c r="D51" s="1"/>
  <c r="D44"/>
  <c r="D43"/>
  <c r="D45" s="1"/>
  <c r="D57" s="1"/>
  <c r="D56" s="1"/>
  <c r="K9" s="1"/>
  <c r="K38"/>
  <c r="K37"/>
  <c r="K35"/>
  <c r="K39" s="1"/>
  <c r="D35"/>
  <c r="D32"/>
  <c r="D31"/>
  <c r="D30"/>
  <c r="K29"/>
  <c r="D29"/>
  <c r="K28"/>
  <c r="D28"/>
  <c r="D26"/>
  <c r="K25"/>
  <c r="D25"/>
  <c r="O24"/>
  <c r="D24"/>
  <c r="D23"/>
  <c r="D22"/>
  <c r="K20"/>
  <c r="K18"/>
  <c r="D18"/>
  <c r="K17"/>
  <c r="D17"/>
  <c r="D16"/>
  <c r="K15"/>
  <c r="K21" s="1"/>
  <c r="D15"/>
  <c r="O14"/>
  <c r="D11"/>
  <c r="K10"/>
  <c r="D9"/>
  <c r="K8"/>
  <c r="D8"/>
  <c r="D7"/>
  <c r="K6"/>
  <c r="K11" s="1"/>
  <c r="D6"/>
  <c r="O5"/>
  <c r="D5"/>
  <c r="D61" s="1"/>
  <c r="D64" s="1"/>
  <c r="K12" l="1"/>
  <c r="K30"/>
  <c r="D249"/>
  <c r="D12"/>
  <c r="D247"/>
  <c r="D230" s="1"/>
  <c r="D231" s="1"/>
  <c r="D13" l="1"/>
  <c r="E94" s="1"/>
  <c r="E96" l="1"/>
  <c r="D215" s="1"/>
  <c r="D216" s="1"/>
  <c r="D14"/>
  <c r="D21" s="1"/>
  <c r="D27" l="1"/>
  <c r="K22"/>
  <c r="E97"/>
  <c r="K31" l="1"/>
  <c r="D36"/>
  <c r="K40" s="1"/>
  <c r="B157" i="4" l="1"/>
  <c r="B156"/>
  <c r="B153"/>
  <c r="B152"/>
  <c r="B151"/>
  <c r="B154" s="1"/>
  <c r="B155" s="1"/>
  <c r="B146"/>
  <c r="C41" s="1"/>
  <c r="B143"/>
  <c r="B145" s="1"/>
  <c r="D41" s="1"/>
  <c r="B141"/>
  <c r="B132"/>
  <c r="B135" s="1"/>
  <c r="B140" s="1"/>
  <c r="B131"/>
  <c r="B133" s="1"/>
  <c r="B128"/>
  <c r="B127"/>
  <c r="B126"/>
  <c r="B120"/>
  <c r="E40" s="1"/>
  <c r="D40" s="1"/>
  <c r="B117"/>
  <c r="B119" s="1"/>
  <c r="B114"/>
  <c r="C105"/>
  <c r="C102"/>
  <c r="B97"/>
  <c r="D39" s="1"/>
  <c r="B96"/>
  <c r="B92"/>
  <c r="B84"/>
  <c r="B86" s="1"/>
  <c r="B83"/>
  <c r="B85" s="1"/>
  <c r="B81"/>
  <c r="B80"/>
  <c r="B77"/>
  <c r="C100" s="1"/>
  <c r="B76"/>
  <c r="B75"/>
  <c r="B68"/>
  <c r="B60"/>
  <c r="B59"/>
  <c r="B58"/>
  <c r="B56"/>
  <c r="B55"/>
  <c r="B54"/>
  <c r="D48"/>
  <c r="E42"/>
  <c r="C42" s="1"/>
  <c r="B42"/>
  <c r="B41"/>
  <c r="B43" s="1"/>
  <c r="B40"/>
  <c r="E39"/>
  <c r="C39"/>
  <c r="B39"/>
  <c r="C38"/>
  <c r="B31"/>
  <c r="B30"/>
  <c r="B20"/>
  <c r="B19"/>
  <c r="B24" s="1"/>
  <c r="B18"/>
  <c r="B14"/>
  <c r="B26" s="1"/>
  <c r="B29" s="1"/>
  <c r="B8"/>
  <c r="H238" i="1"/>
  <c r="C101" i="4" l="1"/>
  <c r="C107" s="1"/>
  <c r="B32"/>
  <c r="D46" s="1"/>
  <c r="D51" s="1"/>
  <c r="E43"/>
  <c r="C43"/>
  <c r="D50" s="1"/>
  <c r="D49" s="1"/>
  <c r="B61" s="1"/>
  <c r="B62"/>
  <c r="D43"/>
  <c r="B88"/>
  <c r="B91" s="1"/>
  <c r="E41"/>
  <c r="B147"/>
  <c r="F89" i="1"/>
  <c r="F78"/>
  <c r="F67"/>
  <c r="F56"/>
  <c r="F28"/>
  <c r="C103" i="4" l="1"/>
  <c r="C104" s="1"/>
  <c r="C108" s="1"/>
  <c r="F20" i="1"/>
  <c r="M269" l="1"/>
  <c r="F107" s="1"/>
  <c r="E270"/>
  <c r="M274" s="1"/>
  <c r="F91"/>
  <c r="F92" s="1"/>
  <c r="F44"/>
  <c r="M265"/>
  <c r="F43" s="1"/>
  <c r="E266"/>
  <c r="F90" s="1"/>
  <c r="F40"/>
  <c r="F38"/>
  <c r="F37"/>
  <c r="F36"/>
  <c r="F80"/>
  <c r="F81" s="1"/>
  <c r="E253"/>
  <c r="F217"/>
  <c r="F79" s="1"/>
  <c r="F29"/>
  <c r="F215"/>
  <c r="F58"/>
  <c r="F69" s="1"/>
  <c r="I245"/>
  <c r="F21"/>
  <c r="F19"/>
  <c r="F18"/>
  <c r="F22"/>
  <c r="F17"/>
  <c r="F214"/>
  <c r="F213" s="1"/>
  <c r="F15" s="1"/>
  <c r="H242"/>
  <c r="F14" s="1"/>
  <c r="I234"/>
  <c r="I233"/>
  <c r="F138"/>
  <c r="F139" s="1"/>
  <c r="I193"/>
  <c r="I209"/>
  <c r="G205"/>
  <c r="I208" s="1"/>
  <c r="F128"/>
  <c r="F129" s="1"/>
  <c r="H161"/>
  <c r="H162"/>
  <c r="I155"/>
  <c r="H159" s="1"/>
  <c r="G149"/>
  <c r="G148"/>
  <c r="I154" s="1"/>
  <c r="J146"/>
  <c r="G146"/>
  <c r="I153" s="1"/>
  <c r="F136"/>
  <c r="F137" s="1"/>
  <c r="F133"/>
  <c r="F130"/>
  <c r="F124"/>
  <c r="F123"/>
  <c r="F13" s="1"/>
  <c r="F24" s="1"/>
  <c r="H120"/>
  <c r="F134"/>
  <c r="F131"/>
  <c r="F59"/>
  <c r="F125" l="1"/>
  <c r="F141" s="1"/>
  <c r="E268"/>
  <c r="M270" s="1"/>
  <c r="M268" s="1"/>
  <c r="F106" s="1"/>
  <c r="F109" s="1"/>
  <c r="E264"/>
  <c r="M266" s="1"/>
  <c r="H223"/>
  <c r="E251"/>
  <c r="F70"/>
  <c r="E252"/>
  <c r="F32" s="1"/>
  <c r="F57"/>
  <c r="F68" s="1"/>
  <c r="F216"/>
  <c r="F30" s="1"/>
  <c r="H164"/>
  <c r="F140"/>
  <c r="F60" s="1"/>
  <c r="F71" s="1"/>
  <c r="F82" s="1"/>
  <c r="F93" s="1"/>
  <c r="F94" s="1"/>
  <c r="F95" s="1"/>
  <c r="M264" l="1"/>
  <c r="F42" s="1"/>
  <c r="H272"/>
  <c r="F61"/>
  <c r="F62" s="1"/>
  <c r="F72"/>
  <c r="F73" s="1"/>
  <c r="F26" s="1"/>
  <c r="F34" l="1"/>
  <c r="F46" s="1"/>
  <c r="F25"/>
  <c r="F83"/>
  <c r="F84" s="1"/>
</calcChain>
</file>

<file path=xl/sharedStrings.xml><?xml version="1.0" encoding="utf-8"?>
<sst xmlns="http://schemas.openxmlformats.org/spreadsheetml/2006/main" count="989" uniqueCount="698">
  <si>
    <t>שאלה מספר 1</t>
  </si>
  <si>
    <t>1.7.08</t>
  </si>
  <si>
    <t>עלות</t>
  </si>
  <si>
    <t>רווחי אקוויטי</t>
  </si>
  <si>
    <t>תנועה</t>
  </si>
  <si>
    <t>הסבר</t>
  </si>
  <si>
    <t>התאמת מדיניות- נדל"ן</t>
  </si>
  <si>
    <t>הפחתת ה"מ:</t>
  </si>
  <si>
    <t>ר"ק</t>
  </si>
  <si>
    <t>קשרי לקוחות</t>
  </si>
  <si>
    <t>חוזה חכירה</t>
  </si>
  <si>
    <t>הפרשה לתביעה</t>
  </si>
  <si>
    <t>ירידת ערך ר"ק</t>
  </si>
  <si>
    <t>31.12.08</t>
  </si>
  <si>
    <t>יתרה לפני הנפקה</t>
  </si>
  <si>
    <t>הנפקה</t>
  </si>
  <si>
    <t>יתרה לאחר הנפקה</t>
  </si>
  <si>
    <t>חושב בנדרש 2</t>
  </si>
  <si>
    <t>הנפקת מניות בכורה</t>
  </si>
  <si>
    <t>יתרה</t>
  </si>
  <si>
    <t>31.12.09</t>
  </si>
  <si>
    <t>רווחי קוויטי</t>
  </si>
  <si>
    <t>דיבידנד</t>
  </si>
  <si>
    <t>נכס מוחזק למכירה</t>
  </si>
  <si>
    <t>התאמת מדיניות ציוד:</t>
  </si>
  <si>
    <t>פחת</t>
  </si>
  <si>
    <t>קרן שערוך</t>
  </si>
  <si>
    <t>עסקה עם בעל שליטה</t>
  </si>
  <si>
    <t>31.12.10</t>
  </si>
  <si>
    <t>PN</t>
  </si>
  <si>
    <t>הרכב</t>
  </si>
  <si>
    <t>חלקי בשווי מאזני</t>
  </si>
  <si>
    <t>יתרת ה"מ:</t>
  </si>
  <si>
    <t>מס נידחה</t>
  </si>
  <si>
    <t>מוניטין</t>
  </si>
  <si>
    <t>סה"כ</t>
  </si>
  <si>
    <t>הרכב 2008 לאחר הנפקה:</t>
  </si>
  <si>
    <t>הרכב 2008 לפני הנפקה (לא נדרש בשאלה):</t>
  </si>
  <si>
    <t>הרכב 2009:</t>
  </si>
  <si>
    <t>הרכב 2010:</t>
  </si>
  <si>
    <t>התאמת מדיניות- ציוד</t>
  </si>
  <si>
    <t>השפעה על התנועה בחשבון השקעה:</t>
  </si>
  <si>
    <t>הפחתת קרן שערוך</t>
  </si>
  <si>
    <t>השפעה על הרכב חשבון השקעה:</t>
  </si>
  <si>
    <t>חלקי בשווי מאזיני:</t>
  </si>
  <si>
    <t>התאמת מדיניות- ציוד:</t>
  </si>
  <si>
    <t>הסברים:</t>
  </si>
  <si>
    <t>השגת השפעה מהותית לראשונה ביום 1.7.08:</t>
  </si>
  <si>
    <t>תמורה</t>
  </si>
  <si>
    <t>שווי נירכש</t>
  </si>
  <si>
    <t>הפרש מקורי</t>
  </si>
  <si>
    <t>חישוב הפרש מקורי:</t>
  </si>
  <si>
    <t>ייחוס הפרש מקורי:</t>
  </si>
  <si>
    <t>רשימת לקוחות</t>
  </si>
  <si>
    <t>הטבות לעובדים</t>
  </si>
  <si>
    <t>רכוש קבוע:</t>
  </si>
  <si>
    <t>קשרי לקוחות:</t>
  </si>
  <si>
    <t>רשימת לקוחות:</t>
  </si>
  <si>
    <t>נכס מוחזק למכירה:</t>
  </si>
  <si>
    <t>הטבות לעובדים:</t>
  </si>
  <si>
    <t>חוזה חכירה:</t>
  </si>
  <si>
    <t>הפרשה לתביעה:</t>
  </si>
  <si>
    <t>נדל"ן להשקעה:</t>
  </si>
  <si>
    <t>הנפקת מניות ע"י חברת אורטל ביום 31.12.08:</t>
  </si>
  <si>
    <t>הפחתת הפרש מקורי- קשרי לקוחות- שנת 2009:</t>
  </si>
  <si>
    <t>חלוקת דיבידנד ביום 1.7.10:</t>
  </si>
  <si>
    <t>ציוד:</t>
  </si>
  <si>
    <t>100000+100000+15000+200000</t>
  </si>
  <si>
    <t>0.4*(100000+300000+300000+0)</t>
  </si>
  <si>
    <t>0.4*(20000-0)</t>
  </si>
  <si>
    <t>נאמר במפורש שקישרי הלקוחות ניתנים להפרדה ולכן זהו נכס מזוהה שנייחס לו הפרש מקורי.</t>
  </si>
  <si>
    <t>לא נובעת מזכות חוזית או חוקית ובשאלה נאמר במפורש שהסכמי סודיות מונעים הפרדה ולכן הרשימה לא עונה על הגדרת נכס מזוהה ולא נייחס לה הפרש מקורי.</t>
  </si>
  <si>
    <t>כחריג לעקרון המדידה קובע ifrs 3 שנכס מוחזק למכירה נמדד לפי שווי הוגן בניכוי עלויות מכירה.</t>
  </si>
  <si>
    <t>0.4*((30000-3000)-20000)</t>
  </si>
  <si>
    <t>כחריג לעקרון המדידה קובע ifrs 3 שהטבות לעובדים ימדדו לפי ias 19 ולא לפי שווי הוגן. מכיוון שבספרי חברה אורטל ההטבות נימדדו לפי ias 19 הרי שאין לייחס עודף עלות.</t>
  </si>
  <si>
    <t>בהקשר לחכירה עולות שתי סוגיות:</t>
  </si>
  <si>
    <t>א. האם לבצע התאמת מדיניות ולשנות לחכירה הונית לפי הערכת חברת לוי? התשובה לכך היא לא, במועד הרכישה חברת האם קובעת את המדיניות החשבונאית והיא יכולה</t>
  </si>
  <si>
    <t xml:space="preserve">    לסווג מחדש נכסים והתחייבויות, אך כחריג קובע ifrs 3 שהסכמי חכירה וביטוח תמיד יסווגו לפי מועד ההסכם ולכן החכירה נשארת חכירה תיפעולית.</t>
  </si>
  <si>
    <t>ב. האם לייחס עודף עלות לחכירה התפעולית? התשובה לכך היא כן, למרות שחוזה החכירה לא ניתן להפרדה הוא נובע מזכות חוזית ולכן הוא עונה על הגדרת נכס מזוהה.</t>
  </si>
  <si>
    <t>את יתרת הר"ק נטו ליום 31.12.07 נימצא כ pn בדוחות הכספיים של חברת אורטל (נתונים בסעיף 1 של השאלה), זאת לאחר שהבנו כי לא היה קיים נדל"ן להשקעה במועד זה.</t>
  </si>
  <si>
    <t xml:space="preserve">מכאן שהר"ק בתאריך 31.12.07 עומד על </t>
  </si>
  <si>
    <t xml:space="preserve">ויתרת חייו היא </t>
  </si>
  <si>
    <t>עלות מופחתת של הר"ק</t>
  </si>
  <si>
    <t>550000/8.25*7.75</t>
  </si>
  <si>
    <t>550000/8.25*7.25</t>
  </si>
  <si>
    <t>זאת גם היתה שנמלא בדוחות של אורטל ובנוסף לפי יתרה זאת נייחס הפרש מקורי</t>
  </si>
  <si>
    <t>בגין שנה זו נתון שקיים סימנים לירידת ערך ולכן עלינו לבדוק אם חברת אורטל הכירה בספריה בירידת ערך</t>
  </si>
  <si>
    <t>סכום בר ההשבה שנתון לתאריך 31.12.08 הינו 450,000 ₪, סכום זה נמוך מהעלות המופחתת הקיימת בספרים ולכן חברת אורטל תכיר בירידת ערך ובספריה יופיע סכום בר ההשבה ולא העלות המופחתת.</t>
  </si>
  <si>
    <t>מכאן שלאחר חישובים אלו בסעיף 1 בשאלה נמלא בגין הר"ק</t>
  </si>
  <si>
    <t>31.12.07</t>
  </si>
  <si>
    <t>עלות מופחתת</t>
  </si>
  <si>
    <t>סכום בר השבה</t>
  </si>
  <si>
    <t>בדיקת ירידת ערך 31.12.08:</t>
  </si>
  <si>
    <t>שלב א: ספרי אורטל</t>
  </si>
  <si>
    <t>חושב לעיל.</t>
  </si>
  <si>
    <t>שלב ב: ספרי לוי</t>
  </si>
  <si>
    <t>700000/7.75*7.25</t>
  </si>
  <si>
    <t>שלב ג- יתרת ה"מ</t>
  </si>
  <si>
    <t>0.4*(700000-516667)</t>
  </si>
  <si>
    <t>נרכש ע"י חברת אורטל במועד הרכישה ולכן אין צורך לייחס ה"מ במועד זה או להתאים מדיניות.</t>
  </si>
  <si>
    <t>מציאת עלות הרכישה אשר תופיע בדוחות של אורטל לתאריך 1.7.08:</t>
  </si>
  <si>
    <t>נתון כי חברת אורטל רשמה הוצאות פחת בשנת 2008 בסך של 80000 ₪ ולכן</t>
  </si>
  <si>
    <t>עלות הרכישה</t>
  </si>
  <si>
    <t>80000*(1+2+3+4)/(4*(6/12))</t>
  </si>
  <si>
    <t>מכאן שלאחר חישובים אלו בסעיף 1 בשאלה נמלא בגין הנדל"ן</t>
  </si>
  <si>
    <t>400000/10*(10-4*(6/12))</t>
  </si>
  <si>
    <t>ממועד הרכישה והילך נבצע התאמת מדיניות בגין הנדל"ן להשקעה</t>
  </si>
  <si>
    <t>שינוי</t>
  </si>
  <si>
    <t>מועד הרכישה</t>
  </si>
  <si>
    <t>אורטל- עלות</t>
  </si>
  <si>
    <t>לוי- שווי הוגן</t>
  </si>
  <si>
    <t>הנדל"ן לא קיים במועד זה</t>
  </si>
  <si>
    <t>הסבר לייחוס ה"מ:</t>
  </si>
  <si>
    <t>ר"ק זהו נכס מוחשי כי הוא ניתן להפרדה ולכן נייחס עודף עלות.</t>
  </si>
  <si>
    <t>כחריג לעיקרון המדידה קובע ifrs 3 שמיסים נידחים ימדדו לפי ias 12</t>
  </si>
  <si>
    <t>נובע מזכות חוזית ולכן הוא עונה על הגדרת נכס מזוהה</t>
  </si>
  <si>
    <t>כחריג לעיקרון המדידה קובע ifrs 3 שיש לייחס ה"מ להתחייבות תלויה בכל פעם שיש שווי הוגן, בין אם צפוי תזרים מזומנים שלילי ובין אם לא.</t>
  </si>
  <si>
    <t>ניתן למצוא על כמה היא עומדת בספרים ביום הרכישה כ- PN בדוחות הנתונים בשאלה, זאת לאחר שמצאנו על כמה עומדים בתאריך זה הנדלן להשקעה (הסבר 9) והר"ק (הסבר 2).</t>
  </si>
  <si>
    <t>מכאן שבסעיף 1 בשאלה נמלא בגין ההפרשה לתביעה</t>
  </si>
  <si>
    <t>0.4(-35000-(-30000))</t>
  </si>
  <si>
    <t>ראשית,</t>
  </si>
  <si>
    <t>ההון של חברת אורטל גדל ע"י הפקודה</t>
  </si>
  <si>
    <t>חובה</t>
  </si>
  <si>
    <t>זכות</t>
  </si>
  <si>
    <t>מזומן</t>
  </si>
  <si>
    <t>הון מניות</t>
  </si>
  <si>
    <t>פרמיה</t>
  </si>
  <si>
    <t>את ההון והפרמיה מהפקודה יש להוסיף להון מניות ולפרמיה שהיו קיימים במועד הרכישה וכך נמצא אותם לתאריך 31.12.08</t>
  </si>
  <si>
    <t>מכאן שב- 31.12.08 בדוחות של אורטל יופיע:</t>
  </si>
  <si>
    <t>100000+100000</t>
  </si>
  <si>
    <t>300,000+200000</t>
  </si>
  <si>
    <t>לאחר מציאת נתונים אלו וכמובן לאחר שמצאנו את הנדל"ן (הסבר 9) ואת הר"ק (הסבר 2) שמופיעים בספרי אורטל בתאריך 31.12.08, נוכל כעת למצוא את העודפים של חברת אורטל בתאריך זה כ- PN.</t>
  </si>
  <si>
    <t>עודפים</t>
  </si>
  <si>
    <t>מכאן שהרווחים של חברת אורטל במחצית השניה של שנת 2008 הם:</t>
  </si>
  <si>
    <t>נתון</t>
  </si>
  <si>
    <t>רווח</t>
  </si>
  <si>
    <t>נתון בסעיף 7.ב. בשאלה כי לא היו שינויים נוספים בהון של חברת אורטל ולכן כל השינוי בעודפים הוא בגין הרווח בתקופה זאת.</t>
  </si>
  <si>
    <t>0.4*(460000-400000*(10-4*(6/12))/10)0.7</t>
  </si>
  <si>
    <t>73333/7.75*0.5*0.7*-1</t>
  </si>
  <si>
    <t>73333/7.75*7.25*0.7*-1</t>
  </si>
  <si>
    <t>8000/5*0.5*0.7*-1</t>
  </si>
  <si>
    <t>8000/0.5*0.5*0.7*-1</t>
  </si>
  <si>
    <t>בתאריך 31.12.08 לפני הנתונים בדוחות של חברת אורטל, ההפרשה אצל אורטל עומדת על 40,000 סכום הגבוה מהשווי ההוגן של ההפרשה ליום הרכישה, ולכן יש לסגור את כל הה"מ.</t>
  </si>
  <si>
    <t>1,8</t>
  </si>
  <si>
    <t>(-2000)*0.7*-1</t>
  </si>
  <si>
    <t>שנית,</t>
  </si>
  <si>
    <t>חברת לוי לא השתתפה בהנפקה ולכן ישנה ירידה בשיעור החזקה</t>
  </si>
  <si>
    <t>40000/(100000+100000)</t>
  </si>
  <si>
    <t>יש למצוא הרכב חשבון השקעה לאחר ירידה, אך מכיוון שהרכב זה הוא חלק מנדרש 2 הוא יחושב כבר בנדרשים.</t>
  </si>
  <si>
    <t>8000/5*4.5</t>
  </si>
  <si>
    <t>0.2*(460000-400000*(10-4*(6/12))/10)0.7</t>
  </si>
  <si>
    <t>יתרה לפני ירידה</t>
  </si>
  <si>
    <t>יתרה לאחר ירידה</t>
  </si>
  <si>
    <t>7200*0.2/0.4</t>
  </si>
  <si>
    <t>71767*0.2/0.4</t>
  </si>
  <si>
    <t>0.2(100000-10000*6/12)</t>
  </si>
  <si>
    <t>0.2(300000-100000)</t>
  </si>
  <si>
    <t>0.2(200000-400000*(8-4*6/12-3*6/12)/10)0.73</t>
  </si>
  <si>
    <t>שינוי בשיעור מס</t>
  </si>
  <si>
    <t>1.1.09</t>
  </si>
  <si>
    <t>יתרת ה"מ</t>
  </si>
  <si>
    <t>הפחתה</t>
  </si>
  <si>
    <t>3600*3.5/4.5*0.73</t>
  </si>
  <si>
    <t>3600*0.7</t>
  </si>
  <si>
    <t>מ"ב</t>
  </si>
  <si>
    <t>3600*3.5/4.5</t>
  </si>
  <si>
    <t>0.2(150000-10000)</t>
  </si>
  <si>
    <t>בתאריך 1.7.10 חילקה חברת אורטל דיבידנד סכום כולל של</t>
  </si>
  <si>
    <t>100000*0.1</t>
  </si>
  <si>
    <t>מ"ר</t>
  </si>
  <si>
    <t>0.2*(-50000)</t>
  </si>
  <si>
    <t>ביום 1.1.10 שינתה חברת אורטל את המדיניות ועברה למודל השווי ההוגן- חברת אורטל תבצע תיקון רטרואקטיבי של העודפים ולכן מכאן והילך אין יותר התאמת מדיניות ואת התיקון ניראה בהון העצמי של חברת אורטל.</t>
  </si>
  <si>
    <t>ההון של חברת אורטל יגדל ב-</t>
  </si>
  <si>
    <t>(200000-400000*(8-4*6/12-3*6/12)/10)0.73</t>
  </si>
  <si>
    <t>1.1.10</t>
  </si>
  <si>
    <t>השינוי יתבצע בהון העצמי של חברת אורטל.</t>
  </si>
  <si>
    <t>2800/3.5*0.73*-1</t>
  </si>
  <si>
    <t>התאמת מדיניות</t>
  </si>
  <si>
    <t>אורטל-עלות</t>
  </si>
  <si>
    <t>לוי-שערוך</t>
  </si>
  <si>
    <t>יום  הרכישה</t>
  </si>
  <si>
    <t>0.2(101000-100000*9/10)0.73</t>
  </si>
  <si>
    <t>שערוך</t>
  </si>
  <si>
    <t>סה"כ שינוי</t>
  </si>
  <si>
    <t>0.2(20000-35000)</t>
  </si>
  <si>
    <t>2800*2.5/3.5</t>
  </si>
  <si>
    <t>31.12.11</t>
  </si>
  <si>
    <t>0.2(120000-100000*8/10)0.73</t>
  </si>
  <si>
    <t>0.2(120000-101000*8/9)0.73</t>
  </si>
  <si>
    <t xml:space="preserve">בנוסף בשנת 2011 בספרי חברת לוי יש הפחתת קרן שערוך על סך </t>
  </si>
  <si>
    <t>ב- 31.12.11 שינתה חברת אורטל את המדיניות ועברה למודל השערוך ולכן היא תבצע תיקון רטרואקטיבי בספריה והונה העצמי יגדל ב-</t>
  </si>
  <si>
    <t>(120000-100000*8/10)0.73</t>
  </si>
  <si>
    <t>שנת 2011 זוהי בעצם השנה האחרונה שבה ביצענו התאמת מדיניות בגין הציוד.</t>
  </si>
  <si>
    <t>סה"כ השפעה על התנועה</t>
  </si>
  <si>
    <t>ההון של חברת אורטל יגדל ב- 29200 כתוצאה משינוי המדיניות</t>
  </si>
  <si>
    <t>2800-700</t>
  </si>
  <si>
    <t>(380000-300000)*0.4</t>
  </si>
  <si>
    <t>0.4(700000+80000)</t>
  </si>
  <si>
    <t>0.2(780000+300000)</t>
  </si>
  <si>
    <t>0.2(1080000+100000+300000-(100000+10000*6/12))</t>
  </si>
  <si>
    <t>0.2(1480000+150000+14600-60000-15000-(100000+10000*6/12)</t>
  </si>
  <si>
    <t>מועד ב' סמסטר א' - תשע"ב - מאזנים מאוחדים א'</t>
  </si>
  <si>
    <t>שאלה בנושא 12-IAS</t>
  </si>
  <si>
    <t>דוח התאמה למס - שנת 2012</t>
  </si>
  <si>
    <t>רווח לפני מס בספרים:</t>
  </si>
  <si>
    <t>הוסף:</t>
  </si>
  <si>
    <t>פחת מכונה - ספרים</t>
  </si>
  <si>
    <t>V</t>
  </si>
  <si>
    <t>60,000*1/19.75=</t>
  </si>
  <si>
    <t>פחת סימן מסחרי - ספרים</t>
  </si>
  <si>
    <t>30,000*1/9=</t>
  </si>
  <si>
    <t>הוצאות בגין חובות מסופקים (ה)</t>
  </si>
  <si>
    <t>רכב</t>
  </si>
  <si>
    <t>נסיעות לחו"ל</t>
  </si>
  <si>
    <t>תרומה *</t>
  </si>
  <si>
    <t>הפחת:</t>
  </si>
  <si>
    <t>הפסדים עסקיים מועברים</t>
  </si>
  <si>
    <t>מסים נדחים נוצרו רק בגין 30,000 ש"ח ב-31.12.11.</t>
  </si>
  <si>
    <t>פחת מכונה - מס הכנסה</t>
  </si>
  <si>
    <t>50,000/20=</t>
  </si>
  <si>
    <t>ניכוי נוסף פחת - מס הכנסה - מפעל</t>
  </si>
  <si>
    <t>200,000*1/10*50%=</t>
  </si>
  <si>
    <t>פחת סימן מסחרי - מס הכנסה</t>
  </si>
  <si>
    <t>40,000*1/10=</t>
  </si>
  <si>
    <t>ביטול רווח בספרים בגין ביטול הפסד מירידת ערך סימן מסחרי (ד)</t>
  </si>
  <si>
    <t>חוב אבוד (ה)</t>
  </si>
  <si>
    <t>רווח הון *</t>
  </si>
  <si>
    <t>הכנסה חייבת</t>
  </si>
  <si>
    <t>חבות המס</t>
  </si>
  <si>
    <t>שיעור מס רגיל</t>
  </si>
  <si>
    <t>זיכוי - תרומה *</t>
  </si>
  <si>
    <t>ביאור מסים נדחים</t>
  </si>
  <si>
    <t>12/2011</t>
  </si>
  <si>
    <t>שינוי אחר</t>
  </si>
  <si>
    <t>12/2012</t>
  </si>
  <si>
    <t>הפסדים עסקיים מועברים (א)</t>
  </si>
  <si>
    <t>מכונה (ב)</t>
  </si>
  <si>
    <t>השקעה במניות חברת "אילת" - ניירות ערך זמינים למכירה (ג)</t>
  </si>
  <si>
    <t>סימן מסחרי (ד)</t>
  </si>
  <si>
    <t>הלח"מ (ה)</t>
  </si>
  <si>
    <t>חישוב הוצאות המס בספרים</t>
  </si>
  <si>
    <t>הוצאות מס שוטפות בספרים = חבות המס:</t>
  </si>
  <si>
    <t>הכנסות מס נדחות:</t>
  </si>
  <si>
    <t>שיעור מס רגיל - סיכום כל מה שמסומן ב-V בדוח ההתאמה - לפי שיעורי מס מתאימים</t>
  </si>
  <si>
    <t>שינוי בשיעור המס</t>
  </si>
  <si>
    <t>הכנסות מס נדחות סה"כ:</t>
  </si>
  <si>
    <t>סה"כ הוצאות המס בספרים</t>
  </si>
  <si>
    <t>ביאור מס תיאורטי</t>
  </si>
  <si>
    <t>מס תיאורטי</t>
  </si>
  <si>
    <t>500,000*0.25=</t>
  </si>
  <si>
    <t>הפסדים עסקיים מועברים שנוצלו השנה ובגינם לא נוצר מס נדחה</t>
  </si>
  <si>
    <t>(50,000-30,000)*0.25=</t>
  </si>
  <si>
    <t xml:space="preserve">5,000 * 0.25 = </t>
  </si>
  <si>
    <t xml:space="preserve">10,000 * 0.25 = </t>
  </si>
  <si>
    <t>תרומה</t>
  </si>
  <si>
    <t xml:space="preserve">20,000 * (0.25 - 0.35) = </t>
  </si>
  <si>
    <t>ניכוי נוסף פחת - מס הכנסה</t>
  </si>
  <si>
    <t>רווח הון</t>
  </si>
  <si>
    <t xml:space="preserve">50,000 * (0.25 - 0.2) = </t>
  </si>
  <si>
    <t>הוצאות המס האפקטיביות בספרים</t>
  </si>
  <si>
    <t>ביאורים וחישובים</t>
  </si>
  <si>
    <t>(א)</t>
  </si>
  <si>
    <t>יתרת מס נדחה 12/11:</t>
  </si>
  <si>
    <t>30,000*0.25=</t>
  </si>
  <si>
    <t>יתרת מס נדחה 12/12:</t>
  </si>
  <si>
    <t>כל ההפסדים העסקיים המועברים נוצלו בשנת 2012.</t>
  </si>
  <si>
    <t>(ב)</t>
  </si>
  <si>
    <t>מכונה - שיטות חשבונאיות שונות</t>
  </si>
  <si>
    <t>יתרת מכונה בספרים - לאחר שערוך 12/2011</t>
  </si>
  <si>
    <t>יתרת מכונה לצרכי מס - עלות 12/2011</t>
  </si>
  <si>
    <t>50,000*19.75/20=</t>
  </si>
  <si>
    <t>הפרש</t>
  </si>
  <si>
    <t>יתרת מס נדחה בזכות 12/2011</t>
  </si>
  <si>
    <t>10,625*0.25=</t>
  </si>
  <si>
    <t>שנת 2012 - הפחתת מס נדחה בזכות (שינוי רגיל):</t>
  </si>
  <si>
    <t>ח' מס נדחה</t>
  </si>
  <si>
    <t>2,656 * 1/19.75=</t>
  </si>
  <si>
    <t>ז' הוצאות מס נדחות</t>
  </si>
  <si>
    <t>יתרת מכונה לצרכי מס - עלות 12/2012</t>
  </si>
  <si>
    <t>50,000*18.75/20=</t>
  </si>
  <si>
    <t>יתרת מכונה בספרים - לפני שערוך 12/2012</t>
  </si>
  <si>
    <t>60,000*18.75/19.75=</t>
  </si>
  <si>
    <t>יתרת מס נדחה בזכות לפני שערוך 12/2012</t>
  </si>
  <si>
    <t>(56,962-46,875)*0.25=</t>
  </si>
  <si>
    <t>גידול בקרן שערוך ברוטו בספרים בגין שערוך 12/2012</t>
  </si>
  <si>
    <t>75,000-56,962=</t>
  </si>
  <si>
    <t>יתרת מכונה בספרים 12/2012</t>
  </si>
  <si>
    <t>סה"כ הפרש ספרים - מס הכנסה ליום 31.12.12</t>
  </si>
  <si>
    <t>75,000-46,875=</t>
  </si>
  <si>
    <t>ניתוח עיתוי היפוך הפרש זמני - ספרים - מס הכנסה</t>
  </si>
  <si>
    <t>12/2013</t>
  </si>
  <si>
    <t>75,000*17.75/18.75 - 46,875*17.75/18.75=</t>
  </si>
  <si>
    <t>יתרת ההפרש הזמני תיסגר לפי שיעור מס 30%</t>
  </si>
  <si>
    <t>לכן יתרת מס נדחה בזכות ליום 31.12.12:</t>
  </si>
  <si>
    <t>סה"כ:</t>
  </si>
  <si>
    <t xml:space="preserve">(28,125-26,625)*0.28 + 26,625*0.3 = </t>
  </si>
  <si>
    <t>שינוי במס נדחה - שינוי אחר</t>
  </si>
  <si>
    <t>8,408 - (2,656-134) =</t>
  </si>
  <si>
    <t>דרך אחרת - ע"י תנועה במס נדחה בגין קרן שערוך</t>
  </si>
  <si>
    <t>מס נדחה - י.פ</t>
  </si>
  <si>
    <t>הפחתת מס נדחה בקצב הפחתת קרן שערוך - מול שינוי רגיל</t>
  </si>
  <si>
    <t>שערוך השנה - מול שינוי אחר</t>
  </si>
  <si>
    <t>(75,000-60,000*18.75/19.75)/18.75*(0.28+17.75*0.3)=</t>
  </si>
  <si>
    <t>יתרה לפני עדכון - שינוי בשיעור המס</t>
  </si>
  <si>
    <t>שינוי במס - PN - עדכון י.ס. כי השינוי במס הוא מ-2013 ואילך - שינוי אחר</t>
  </si>
  <si>
    <t>שינוי רגיל</t>
  </si>
  <si>
    <t>(ג)</t>
  </si>
  <si>
    <t>השקעה במניות חברת "אילת" - ניירות ערך זמינים למכירה</t>
  </si>
  <si>
    <t>השקעה במניות חברת "אילת" - ספרים - 31.12.11</t>
  </si>
  <si>
    <t>100,000*1.1=</t>
  </si>
  <si>
    <t>השקעה במניות חברת "אילת" - מס הכנסה - 31.12.11 - עלות</t>
  </si>
  <si>
    <t>מס נדחה בזכות - לפי מס רווח הון - 31.12.11</t>
  </si>
  <si>
    <t>(110,000-100,000)*0.2=</t>
  </si>
  <si>
    <t>השקעה במניות חברת "אילת" - ספרים - 31.12.12</t>
  </si>
  <si>
    <t>100,000*1.4=</t>
  </si>
  <si>
    <t>השקעה במניות חברת "אילת" - מס הכנסה - 31.12.12 - עלות</t>
  </si>
  <si>
    <t>מס נדחה בזכות - לפי מס רווח הון - 31.12.12</t>
  </si>
  <si>
    <t>(140,000-100,000)*0.2=</t>
  </si>
  <si>
    <t>(ד)</t>
  </si>
  <si>
    <t>סימן מסחרי - שיטות חשבונאיות שונות:</t>
  </si>
  <si>
    <t>מס נדחה ליום 31.12.11</t>
  </si>
  <si>
    <t>סימן מסחרי - ספרים</t>
  </si>
  <si>
    <t>סימן מסחרי - מס הכנסה</t>
  </si>
  <si>
    <t>40,000*9/10=</t>
  </si>
  <si>
    <t>מס נדחה בחובה ליום 31.12.11</t>
  </si>
  <si>
    <t xml:space="preserve">6,000 * 0.25 = </t>
  </si>
  <si>
    <t>מס הכנסה אינו מכיר בירידת ערך סימן מסחרי, ולכן יש מס נדחה בחובה ליום 31.12.11</t>
  </si>
  <si>
    <t>סימן מסחרי - ספרים - ליום 31.12.12 - לפני שערוך:</t>
  </si>
  <si>
    <t>30,000*8/9=</t>
  </si>
  <si>
    <t>סימן מסחרי - מס הכנסה - עלות - ליום 31.12.12:</t>
  </si>
  <si>
    <t>40,000*8/10=</t>
  </si>
  <si>
    <t>הפרש:</t>
  </si>
  <si>
    <t>סימן מסחרי - ספרים - ליום 31.12.12 - לאחר שערוך:</t>
  </si>
  <si>
    <t>שערוך שנרשם בספרים:</t>
  </si>
  <si>
    <t>60,000-32,000=</t>
  </si>
  <si>
    <t>בספרים, ראשית נרשם ביטול הפסד ליום 31.12.12 בסך 5,333. לאחר מכן, נרשם בספרים שערוך בסך 28,000.</t>
  </si>
  <si>
    <t>יש לזכור כי בראיית מס הכנסה הרווח שנרשם בספרים אינו מוכר, ולכן יש לבטלו בדוח ההתאמה למס.</t>
  </si>
  <si>
    <t>ניתוח עיתוי היפוך הפרש זמני - ספרים - מס הכנסה - ליום 31.12.12</t>
  </si>
  <si>
    <t>60,000*7/8-40,000*7/10=</t>
  </si>
  <si>
    <t>יתרת מס נדחה בזכות ליום 31.12.12:</t>
  </si>
  <si>
    <t>(28,000-24,500)*0.28+24,500*0.3=</t>
  </si>
  <si>
    <t>שינוי אחר (בגין קרן שערוך)</t>
  </si>
  <si>
    <t>שינוי (בגין פחת לשנת 2012 וביטול ההפרשה לירידת ערך)</t>
  </si>
  <si>
    <t/>
  </si>
  <si>
    <t>שינוי - סה"כ:</t>
  </si>
  <si>
    <t>(ה)</t>
  </si>
  <si>
    <t>הלח"מ</t>
  </si>
  <si>
    <t>הלח"מ 12/2011</t>
  </si>
  <si>
    <t>(500,000+1,000,000)*0.05=</t>
  </si>
  <si>
    <t>חוב אבוד</t>
  </si>
  <si>
    <t>הוצאות בגין חומ"ס - 2012</t>
  </si>
  <si>
    <t>2,000,000* 0.05=</t>
  </si>
  <si>
    <t>הלח"מ 12/2012</t>
  </si>
  <si>
    <t>גידול בהלח"מ - 2012</t>
  </si>
  <si>
    <t>מס נדחה בחובה 12/2011</t>
  </si>
  <si>
    <t xml:space="preserve">75,000 * 25% = </t>
  </si>
  <si>
    <t>מס נדחה בחובה 12/2012</t>
  </si>
  <si>
    <t xml:space="preserve">155,000 * 28% = </t>
  </si>
  <si>
    <t>יש להניח כי כל ההלח"מ תיסגר בשנת 2013</t>
  </si>
  <si>
    <t>נדרש א' - תנועה בחשבון ההשקעה</t>
  </si>
  <si>
    <t>הרכב ח-ן השקעה 30.9.10</t>
  </si>
  <si>
    <t>אקויטי 1-9/10</t>
  </si>
  <si>
    <t>90000*9/12*0.35=</t>
  </si>
  <si>
    <t>חלק בשווי המאזני</t>
  </si>
  <si>
    <t>0.35*(600000+90000*9/12+20000)=</t>
  </si>
  <si>
    <t>ה.ע.ע מלאי</t>
  </si>
  <si>
    <t>יתרת עודף עלות</t>
  </si>
  <si>
    <t>ה.ע.ע מכונה א'</t>
  </si>
  <si>
    <t>(36750/6)*9/12=</t>
  </si>
  <si>
    <t>מכונה א'</t>
  </si>
  <si>
    <t>(50000-60000)*0.35=</t>
  </si>
  <si>
    <t>ירידת ערך מכונה א' (2)</t>
  </si>
  <si>
    <t>הסתייגות בגין מלאי (3)</t>
  </si>
  <si>
    <t>הסתייגות מלאי</t>
  </si>
  <si>
    <t>קרן הון ני"ע זמינים למכירה</t>
  </si>
  <si>
    <t>(170000-150000)*0.35=</t>
  </si>
  <si>
    <t>יתרה 30.9.10</t>
  </si>
  <si>
    <t>בדיקה</t>
  </si>
  <si>
    <t>תקין</t>
  </si>
  <si>
    <t>גריעה</t>
  </si>
  <si>
    <t>321531*10/35=</t>
  </si>
  <si>
    <t>יתרה 1.10.10</t>
  </si>
  <si>
    <t>הרכב ח-ן השקעה 31.12.10</t>
  </si>
  <si>
    <t>אקויטי 10-12/10</t>
  </si>
  <si>
    <t>90000*3/12*0.25=</t>
  </si>
  <si>
    <t>0.25*(687500+90000*3/12-40000)=</t>
  </si>
  <si>
    <t>(25156/5.25*0.25)*25/35=</t>
  </si>
  <si>
    <t>ירידת ערך מכונה א' (4)</t>
  </si>
  <si>
    <t>הסתייגות בגין מלאי (5)</t>
  </si>
  <si>
    <t>59250*25/35=</t>
  </si>
  <si>
    <t>קרן הון ני"ע זמינים למכירה (6)</t>
  </si>
  <si>
    <t>15000*-0.25=</t>
  </si>
  <si>
    <t>יתרה 31.12.10</t>
  </si>
  <si>
    <t>אקויטי 1-6/11</t>
  </si>
  <si>
    <t>90000*6/12*0.25=</t>
  </si>
  <si>
    <t>14375/5*0.5=</t>
  </si>
  <si>
    <t>עליית ערך מכונה א' (7)</t>
  </si>
  <si>
    <t>הרכב ח-ן השקעה 30.6.11</t>
  </si>
  <si>
    <t>הסתייגות בגין מלאי (8)</t>
  </si>
  <si>
    <t>0.25*(670000+90000*6/12+20000)=</t>
  </si>
  <si>
    <t>(150000-130000)*0.25=</t>
  </si>
  <si>
    <t>יתרת עודף עלות:</t>
  </si>
  <si>
    <t>יתרה 30.6.11</t>
  </si>
  <si>
    <t>עלות נוספת (9)</t>
  </si>
  <si>
    <t>850000*5500/10000=</t>
  </si>
  <si>
    <t>אקויטי 7-12/11</t>
  </si>
  <si>
    <t>90000*6/12*0.4=</t>
  </si>
  <si>
    <t>12000*-0.25=</t>
  </si>
  <si>
    <t>(14688+8813)*0.5/4.5=</t>
  </si>
  <si>
    <t>ירידת ערך מכונה א' (10)</t>
  </si>
  <si>
    <t>הרכב ח-ן השקעה 31.12.11</t>
  </si>
  <si>
    <t>50000*0.4=</t>
  </si>
  <si>
    <t>0.4*(735000+90000*6/12+850000-50000-12000-30000)=</t>
  </si>
  <si>
    <t>יתרה 31.12.11</t>
  </si>
  <si>
    <t>42321+8438=</t>
  </si>
  <si>
    <t>(1)</t>
  </si>
  <si>
    <t>חישוב עודף עלות</t>
  </si>
  <si>
    <t>280000+26000=</t>
  </si>
  <si>
    <t>שווי מאזני נרכש*</t>
  </si>
  <si>
    <t>580000*0.35=</t>
  </si>
  <si>
    <t>חישוב הון עצמי מתוקן</t>
  </si>
  <si>
    <t>הון נתון</t>
  </si>
  <si>
    <t>60000-80000=</t>
  </si>
  <si>
    <t>ייחוס עודף עלות</t>
  </si>
  <si>
    <t>מלאי</t>
  </si>
  <si>
    <t>(80000-60000)*0.35=</t>
  </si>
  <si>
    <t>(240000-180000*6/8)*0.35=</t>
  </si>
  <si>
    <t>פקודת יומן 1.1.10</t>
  </si>
  <si>
    <t xml:space="preserve">חובה </t>
  </si>
  <si>
    <t>השקעה</t>
  </si>
  <si>
    <t>התחייבות תמורה מותנית</t>
  </si>
  <si>
    <t>(2)</t>
  </si>
  <si>
    <t>בחינת ירידת ערך מכונה א':</t>
  </si>
  <si>
    <t>ספרי שני</t>
  </si>
  <si>
    <t>פנקסני</t>
  </si>
  <si>
    <t>180000*5.25/8=</t>
  </si>
  <si>
    <t>בר השבה</t>
  </si>
  <si>
    <t>ספרי אביתר</t>
  </si>
  <si>
    <t>240000*5.25/6=</t>
  </si>
  <si>
    <t>חישוב יתרת עודף עלות</t>
  </si>
  <si>
    <t>(190000-118125)*0.35=</t>
  </si>
  <si>
    <t>חישוב ירידת ערך</t>
  </si>
  <si>
    <t>36750-4594-25156=</t>
  </si>
  <si>
    <t>(3)</t>
  </si>
  <si>
    <t>הסתייגות בגין מלאי</t>
  </si>
  <si>
    <t>י.פ 31.12.09</t>
  </si>
  <si>
    <t>י.ס 30.9.10</t>
  </si>
  <si>
    <t>50000-60000=</t>
  </si>
  <si>
    <t>חלקה של חברת אביתר</t>
  </si>
  <si>
    <t>0.35*10000=</t>
  </si>
  <si>
    <t>פקודת יומן גריעה 1.10.10</t>
  </si>
  <si>
    <t>מכירת השקעה</t>
  </si>
  <si>
    <t>מימוש קרן הון</t>
  </si>
  <si>
    <t>קרן הון</t>
  </si>
  <si>
    <t>7000*10/35=</t>
  </si>
  <si>
    <t>רוון הון</t>
  </si>
  <si>
    <t>(4)</t>
  </si>
  <si>
    <t>180000*5/8=</t>
  </si>
  <si>
    <t>240000*5/6=</t>
  </si>
  <si>
    <t>(170000-112500)*0.25=</t>
  </si>
  <si>
    <t>25156*25/35-856-14375=</t>
  </si>
  <si>
    <t>(5)</t>
  </si>
  <si>
    <t>י.פ 30.9.10</t>
  </si>
  <si>
    <t>י.ס 31.12.10</t>
  </si>
  <si>
    <t>70000-85000=</t>
  </si>
  <si>
    <t>0.25*-5000=</t>
  </si>
  <si>
    <t>(6)</t>
  </si>
  <si>
    <t>ני"ע זמינים למכירה</t>
  </si>
  <si>
    <t>(7)</t>
  </si>
  <si>
    <t>180000*4.5/8=</t>
  </si>
  <si>
    <t>240000*4.5/6=</t>
  </si>
  <si>
    <t>(160000-101250)*0.25=</t>
  </si>
  <si>
    <t>עליית ערך</t>
  </si>
  <si>
    <t>14375*4.5/5-14688=</t>
  </si>
  <si>
    <t>(8)</t>
  </si>
  <si>
    <t>30000-42000=</t>
  </si>
  <si>
    <t>0.25*3000=</t>
  </si>
  <si>
    <t>(9)</t>
  </si>
  <si>
    <t>חישוב עודף עלות נוסף</t>
  </si>
  <si>
    <t>600000+90000*1.5=</t>
  </si>
  <si>
    <t>חישוב שווי נרכש*</t>
  </si>
  <si>
    <t>שווי לפני</t>
  </si>
  <si>
    <t>0.25*723000=</t>
  </si>
  <si>
    <t>שווי אחרי</t>
  </si>
  <si>
    <t>0.4*(723000+850000)=</t>
  </si>
  <si>
    <t>ייחוס עודף עלות נוסף 1.7.11</t>
  </si>
  <si>
    <t>(42000-30000)*0.15=</t>
  </si>
  <si>
    <t>(160000-180000*4.5/8)*0.15=</t>
  </si>
  <si>
    <t>(11)</t>
  </si>
  <si>
    <t>מכירת ניירות ערך ע"י חברת שני</t>
  </si>
  <si>
    <t>ביום 5.11.11 מכרה חברת שני את ניירות הערך שברשותה.</t>
  </si>
  <si>
    <t>באותו יום מימשה חברת שני את קרן הון בגין ני"ע אשר היתה קיימת ליום 30.9.11 - 30,000 ₪.</t>
  </si>
  <si>
    <t>חברת אביתר משכה באותו יום את חלקה - 12,000 בחובה.</t>
  </si>
  <si>
    <t>לאחר משיכת הפקודה נותרת קרן הון בחובה בסכום של 7,000 ₪.</t>
  </si>
  <si>
    <t>חברת אביתר צריכ לאפס את קרן ההון בחובה. פקודת היומן</t>
  </si>
  <si>
    <t>אקויטי</t>
  </si>
  <si>
    <t>בחינת ירידת ערך מכונה א' 31.12.11</t>
  </si>
  <si>
    <t>((240000*4/6)*0.25+(160000*4/4.5)*0.15)/0.4=</t>
  </si>
  <si>
    <t>(120000-90000)*0.4=</t>
  </si>
  <si>
    <t>ירידת ערך</t>
  </si>
  <si>
    <t>(8813+14688)*4/4.5-10000=</t>
  </si>
  <si>
    <t>נדרש ב' - השפעה על הרווח הכולל</t>
  </si>
  <si>
    <t>שנת 2010</t>
  </si>
  <si>
    <t>רווח והפסד</t>
  </si>
  <si>
    <t>רווחי אקויטי</t>
  </si>
  <si>
    <t>23625-7000-4594-7000+3500+5625-856-2738-1250-5000=</t>
  </si>
  <si>
    <t>רווח / הפסד הון</t>
  </si>
  <si>
    <t>18134+2000=</t>
  </si>
  <si>
    <t>רווח כולל אחר</t>
  </si>
  <si>
    <t>קרן הון - ני"ע זמינים למכירה</t>
  </si>
  <si>
    <t>שנת 2011</t>
  </si>
  <si>
    <t>11250-1438+1751+750+18000-1800-2611-8890-7000=</t>
  </si>
  <si>
    <t>הוצ' בגין עדכון תמורה מותנית</t>
  </si>
  <si>
    <t>נדרש ג' - פקודות יומן תמורה מותנית</t>
  </si>
  <si>
    <t>פקודת יומן 31.12.11</t>
  </si>
  <si>
    <t>הוצאה</t>
  </si>
  <si>
    <t>פתרון - שווי מאזני</t>
  </si>
  <si>
    <t>עלות (1)</t>
  </si>
  <si>
    <t>אקוויטי 1-6/11</t>
  </si>
  <si>
    <t>33%*(300000*6/12-10000*6/12)=</t>
  </si>
  <si>
    <r>
      <t xml:space="preserve">התאמת מדיניות - ציוד </t>
    </r>
    <r>
      <rPr>
        <b/>
        <sz val="10"/>
        <color theme="1"/>
        <rFont val="Arial"/>
        <family val="2"/>
        <scheme val="minor"/>
      </rPr>
      <t>(2)</t>
    </r>
  </si>
  <si>
    <t>ה.ע.ע - מכונות ייצור</t>
  </si>
  <si>
    <t>ה.ע.ע. - ציוד</t>
  </si>
  <si>
    <r>
      <t xml:space="preserve">ה.ע.ע. - תלויה </t>
    </r>
    <r>
      <rPr>
        <b/>
        <sz val="10"/>
        <color theme="1"/>
        <rFont val="Arial"/>
        <family val="2"/>
        <scheme val="minor"/>
      </rPr>
      <t>(3)</t>
    </r>
  </si>
  <si>
    <r>
      <t xml:space="preserve">י. ערך מכונות ייצור </t>
    </r>
    <r>
      <rPr>
        <b/>
        <sz val="10"/>
        <color theme="1"/>
        <rFont val="Arial"/>
        <family val="2"/>
        <scheme val="minor"/>
      </rPr>
      <t>(4)</t>
    </r>
  </si>
  <si>
    <t>30.6.11-</t>
  </si>
  <si>
    <r>
      <t xml:space="preserve">1/7/11 - הנפקה </t>
    </r>
    <r>
      <rPr>
        <b/>
        <sz val="10"/>
        <color theme="1"/>
        <rFont val="Arial"/>
        <family val="2"/>
        <scheme val="minor"/>
      </rPr>
      <t>(6)</t>
    </r>
  </si>
  <si>
    <t>אקוויטי 7-12/11</t>
  </si>
  <si>
    <t>40%*(300000*6/12-5%*200000*6/12)=</t>
  </si>
  <si>
    <r>
      <t>התאמת מדיניות - ציוד</t>
    </r>
    <r>
      <rPr>
        <b/>
        <sz val="10"/>
        <color theme="1"/>
        <rFont val="Arial"/>
        <family val="2"/>
        <scheme val="minor"/>
      </rPr>
      <t xml:space="preserve"> (7)</t>
    </r>
  </si>
  <si>
    <r>
      <t xml:space="preserve">י. ערך מכונות ייצור </t>
    </r>
    <r>
      <rPr>
        <b/>
        <sz val="10"/>
        <color theme="1"/>
        <rFont val="Arial"/>
        <family val="2"/>
        <scheme val="minor"/>
      </rPr>
      <t>(8)</t>
    </r>
  </si>
  <si>
    <t>ה. עודף עלות ציוד</t>
  </si>
  <si>
    <t>(5940+1449)*0.76*0.5/4.5=</t>
  </si>
  <si>
    <r>
      <t>ה. עודף עלות תלויה</t>
    </r>
    <r>
      <rPr>
        <b/>
        <sz val="10"/>
        <color theme="1"/>
        <rFont val="Arial"/>
        <family val="2"/>
        <scheme val="minor"/>
      </rPr>
      <t xml:space="preserve"> (9)</t>
    </r>
  </si>
  <si>
    <t>(20790+8120)*0.76=</t>
  </si>
  <si>
    <r>
      <t xml:space="preserve">עליית ערך מכונות ייצור </t>
    </r>
    <r>
      <rPr>
        <b/>
        <sz val="10"/>
        <color theme="1"/>
        <rFont val="Arial"/>
        <family val="2"/>
        <scheme val="minor"/>
      </rPr>
      <t>(10)</t>
    </r>
  </si>
  <si>
    <r>
      <t xml:space="preserve">דיבידנד </t>
    </r>
    <r>
      <rPr>
        <b/>
        <sz val="10"/>
        <color theme="1"/>
        <rFont val="Arial"/>
        <family val="2"/>
        <scheme val="minor"/>
      </rPr>
      <t>(11)</t>
    </r>
  </si>
  <si>
    <t>31/12/11-</t>
  </si>
  <si>
    <t xml:space="preserve">1/1/12 גריעה </t>
  </si>
  <si>
    <t>1/1/12 יתרה</t>
  </si>
  <si>
    <t>נדרש ב' - הרכב חשבון השקעה:</t>
  </si>
  <si>
    <t>30/6/11:</t>
  </si>
  <si>
    <r>
      <t xml:space="preserve">חלק בשווי </t>
    </r>
    <r>
      <rPr>
        <b/>
        <sz val="10"/>
        <color theme="1"/>
        <rFont val="Arial"/>
        <family val="2"/>
        <scheme val="minor"/>
      </rPr>
      <t>(5)</t>
    </r>
  </si>
  <si>
    <t>33%*(87000*4.5/5-99000)*0.76=</t>
  </si>
  <si>
    <t>מכונות ייצור</t>
  </si>
  <si>
    <t>-</t>
  </si>
  <si>
    <t>ציוד</t>
  </si>
  <si>
    <t>6600*4.5/5=</t>
  </si>
  <si>
    <t>מס נדחה</t>
  </si>
  <si>
    <t>תלויה</t>
  </si>
  <si>
    <t>31/12/11:</t>
  </si>
  <si>
    <r>
      <t xml:space="preserve">חלק בשווי </t>
    </r>
    <r>
      <rPr>
        <b/>
        <sz val="10"/>
        <color theme="1"/>
        <rFont val="Arial"/>
        <family val="2"/>
        <scheme val="minor"/>
      </rPr>
      <t>(12)</t>
    </r>
  </si>
  <si>
    <t>מדיניות</t>
  </si>
  <si>
    <t>40%*(99600-87000*4/5)*0.76=</t>
  </si>
  <si>
    <t>נדרש ג'-פקודת יומן ליום 1/1/12:</t>
  </si>
  <si>
    <t>ח' מזומן</t>
  </si>
  <si>
    <t>22500*17=</t>
  </si>
  <si>
    <t>ז' השקעה</t>
  </si>
  <si>
    <t>ז' רווח הון</t>
  </si>
  <si>
    <t>הסברים</t>
  </si>
  <si>
    <r>
      <rPr>
        <b/>
        <u/>
        <sz val="10"/>
        <color theme="1"/>
        <rFont val="Arial"/>
        <family val="2"/>
        <charset val="177"/>
        <scheme val="minor"/>
      </rPr>
      <t>(1) - ב- 1/1/11 א' רוכשת 33% מחברה ב'</t>
    </r>
    <r>
      <rPr>
        <sz val="10"/>
        <color theme="1"/>
        <rFont val="Arial"/>
        <family val="2"/>
        <charset val="177"/>
        <scheme val="minor"/>
      </rPr>
      <t>, כלומר</t>
    </r>
  </si>
  <si>
    <t>מניות. תמורת ההנפקה נטו שווה לעלות הרכישה. לכן,</t>
  </si>
  <si>
    <t>נחשב את תמורת ההנפקה:</t>
  </si>
  <si>
    <t xml:space="preserve">ש"ה מניות א' - </t>
  </si>
  <si>
    <t>200000*8=</t>
  </si>
  <si>
    <t>הוצאות הנפקה-</t>
  </si>
  <si>
    <t>תמורה נטו-</t>
  </si>
  <si>
    <t xml:space="preserve">בנוסף, בגין התביעה נקבע בהסכם הרכישה על נכס שיפוי שיתקבל מחברה ד' (המוכר) בתנאים מסויימים. נכס השיפוי ינתן בגין </t>
  </si>
  <si>
    <t>התלויה אשר נמדדת ביום הראשון בשווי הוגן ולפיכך, גם נכס השיפוי ימדד בשווי הוגן. נאמר שהשווי ההוגן מחושב לפי ממוצע משוקלל</t>
  </si>
  <si>
    <t>של הסתברויות ולפיכך השווי ההוגן של נכס השיפוי למועד הרכישה:</t>
  </si>
  <si>
    <t>49%*15000=</t>
  </si>
  <si>
    <t>סכום זה יקטין את עלות הרכישה.</t>
  </si>
  <si>
    <t>פקודת יומן לרכישת ההשקעה:</t>
  </si>
  <si>
    <t>ח' השקעה</t>
  </si>
  <si>
    <t xml:space="preserve">  ז' מזומן</t>
  </si>
  <si>
    <t>ח' חייבים</t>
  </si>
  <si>
    <t>חישוב וייחוס עודף עלות:</t>
  </si>
  <si>
    <t>הון מתוקן לאור שינוי במדיניות חשבונאית בקשר לטיפול בציוד (חברה ב' - שיערוך, חברה א' - עלות)</t>
  </si>
  <si>
    <t>הון נתון:</t>
  </si>
  <si>
    <t>מדיניות - ציוד</t>
  </si>
  <si>
    <t>(107000-87000)*0.76=</t>
  </si>
  <si>
    <t xml:space="preserve">הון מתוקן </t>
  </si>
  <si>
    <t>שיך למניות רגילות</t>
  </si>
  <si>
    <t>שיך למניות בכורה</t>
  </si>
  <si>
    <t>200000+5%*200000*3=</t>
  </si>
  <si>
    <t>חלק בשווי</t>
  </si>
  <si>
    <t>33%*3154800=</t>
  </si>
  <si>
    <t>עודף עלות</t>
  </si>
  <si>
    <t>ייחוס עודף עלות:</t>
  </si>
  <si>
    <t>מכונת ייצור</t>
  </si>
  <si>
    <t>33%*(400000-660000*21/36)=</t>
  </si>
  <si>
    <t>33%*(107000-87000)=</t>
  </si>
  <si>
    <t>תלויה (*)</t>
  </si>
  <si>
    <t>33%*(263000-0)=</t>
  </si>
  <si>
    <t xml:space="preserve">(*) שווי הוגן תלויה - </t>
  </si>
  <si>
    <t>51%*0+40%*500000+9%*700000=</t>
  </si>
  <si>
    <t>בספרי חברה ב' לא כוכרה הפרשה בגין תלויה, שכן לפי IAS 37 כל עוד ברמת סבירות של 50% ויותר אין צפי לתשלום עתידי-</t>
  </si>
  <si>
    <t xml:space="preserve">סכום ההפרשה יעמוד על 0. </t>
  </si>
  <si>
    <t>(2) התאמת מדיניות - ציוד:</t>
  </si>
  <si>
    <t>יש לתאם רק את הפחת כיוון שהשערוך לא משפיע על רווחי האקוויטי - הוא נרשם ברווח כולל אחר:</t>
  </si>
  <si>
    <t>ביטול פחת רשום - ש"ה</t>
  </si>
  <si>
    <t>107000*0.5/5=</t>
  </si>
  <si>
    <t>רישום פחת צ"ל - עלות</t>
  </si>
  <si>
    <t>87000*0.5/5=</t>
  </si>
  <si>
    <t>נטו ממס (0.76):</t>
  </si>
  <si>
    <t>קרן שיערוך בספרי ב' (לצורך הרכב חשבון ההשקעה בהמשך):</t>
  </si>
  <si>
    <t>ש"ה</t>
  </si>
  <si>
    <t>107000*4.5/5=</t>
  </si>
  <si>
    <t>נטו ממס</t>
  </si>
  <si>
    <t>(3) - ה.ע.ע - תלויה:</t>
  </si>
  <si>
    <t>30/6/10 - התלויה צריכה לעמוד לפי הגבוה מבין:</t>
  </si>
  <si>
    <t>ש"ה ליום הרכישה:</t>
  </si>
  <si>
    <t>:IAS 37</t>
  </si>
  <si>
    <t>מאחר וחבר ב' יצרה הפרשה בסך 200000, אז יתרת עודף העלות היא:</t>
  </si>
  <si>
    <t>33%*(263000-200000)=</t>
  </si>
  <si>
    <t>(4) י. ערך מכונות ייצור:</t>
  </si>
  <si>
    <t xml:space="preserve">30/6/11 - </t>
  </si>
  <si>
    <t>ספרי חברה ב':</t>
  </si>
  <si>
    <t>פנקסני:</t>
  </si>
  <si>
    <t>660000*18/36=</t>
  </si>
  <si>
    <t>סכום בר השבה:</t>
  </si>
  <si>
    <t>ספרי חברה א':</t>
  </si>
  <si>
    <t>400000*18/21=</t>
  </si>
  <si>
    <t>יתרת עודף עלות-</t>
  </si>
  <si>
    <t>: 30/6/11 - הון ששייך למ"ר(5)</t>
  </si>
  <si>
    <t>שייך למ"ב</t>
  </si>
  <si>
    <t>200000+5%*200000*3.5=</t>
  </si>
  <si>
    <t>שייך למ"ר</t>
  </si>
  <si>
    <t>סה"כ הון</t>
  </si>
  <si>
    <t>3400000+300000*6/12+2052=</t>
  </si>
  <si>
    <t>(6) 1/7/11 - הנפקה:</t>
  </si>
  <si>
    <t xml:space="preserve">ב' מנפיקה מניות, שיעור ההחזקה של א' עולה ל- </t>
  </si>
  <si>
    <t>(115500+64500)/(350000+100000)=</t>
  </si>
  <si>
    <t>חישוב עודף עלות נוסף:</t>
  </si>
  <si>
    <t xml:space="preserve">תמורה - </t>
  </si>
  <si>
    <t>64500*11=</t>
  </si>
  <si>
    <t>חלק בשווי:</t>
  </si>
  <si>
    <t>לפני</t>
  </si>
  <si>
    <t>אחרי</t>
  </si>
  <si>
    <t>40%*4401320=</t>
  </si>
  <si>
    <t>גידול</t>
  </si>
  <si>
    <t>עודף עלות:</t>
  </si>
  <si>
    <t>הון מתוקן לאחר ההנפקה:</t>
  </si>
  <si>
    <t>נתון:</t>
  </si>
  <si>
    <t>3552052+100000*11=</t>
  </si>
  <si>
    <t>(87000*4.5/5-99000)*0.76=</t>
  </si>
  <si>
    <t>סה"כ הון מתוקן</t>
  </si>
  <si>
    <t>ייחוס עודף עלות נוסף:</t>
  </si>
  <si>
    <t>7%*(220000-200000)=</t>
  </si>
  <si>
    <t>7%*(99000-87000*4.5/5)=</t>
  </si>
  <si>
    <t>7%*(-316000+200000)=</t>
  </si>
  <si>
    <t>(7) התאמת מדיניות - ציוד</t>
  </si>
  <si>
    <t>ביטול פחת רשום (ש"ה)</t>
  </si>
  <si>
    <t>99000*0.5/4.5=</t>
  </si>
  <si>
    <t>רישום פחת (עלות)</t>
  </si>
  <si>
    <t>31/1211 - שיערוך רשום בספרי חברה ב' (לצורך הרכב חשבון ההשקעה בסוף השנה):</t>
  </si>
  <si>
    <t>99000*4/4.5=</t>
  </si>
  <si>
    <t xml:space="preserve">שיערוך </t>
  </si>
  <si>
    <t>(8) 1/7/11 - י. ערך מכונות ייצור</t>
  </si>
  <si>
    <t>יש להפחית את מלא עודף העלות הנוסף שיוחס למכונת הייצור כיוון שבספרי חברה ב' המכונה עומדת על הסכום בר ההשבה שלה</t>
  </si>
  <si>
    <r>
      <rPr>
        <b/>
        <sz val="10"/>
        <color theme="1"/>
        <rFont val="Arial"/>
        <family val="2"/>
        <scheme val="minor"/>
      </rPr>
      <t>(9)</t>
    </r>
    <r>
      <rPr>
        <sz val="10"/>
        <color theme="1"/>
        <rFont val="Arial"/>
        <family val="2"/>
        <charset val="177"/>
        <scheme val="minor"/>
      </rPr>
      <t xml:space="preserve"> התביעה התבררה סופית. חברה ב' נדרשת לשלם לתובע סך של 150,000 ₪ ולפיכך חברה ב' סגרה את ההפרשה ועלינו </t>
    </r>
  </si>
  <si>
    <t>את יתרת עודף העלות בגין התלויה.</t>
  </si>
  <si>
    <t>כמו כן - נכס השיפוי לא ישולם ולכן יש לסגור אותו כנגד הפסד (לא נדרש)</t>
  </si>
  <si>
    <t>(10) עליית ערך מכונות ייצור:</t>
  </si>
  <si>
    <t>חברה ב':</t>
  </si>
  <si>
    <t>עלות מופחתת:</t>
  </si>
  <si>
    <t>660000*15/36=</t>
  </si>
  <si>
    <t>חברה א':</t>
  </si>
  <si>
    <t>עודף עלות  (ממוצע משוקלל)</t>
  </si>
  <si>
    <t>0.33/0.4*400000*15/21+0.07/0.4*220000*15/18=</t>
  </si>
  <si>
    <t>31/12/11 - יתרת עודף עלות:</t>
  </si>
  <si>
    <t>סה"כ יתרת עודף עלות:</t>
  </si>
  <si>
    <t>נטו מס:</t>
  </si>
  <si>
    <r>
      <t xml:space="preserve">(11) דיבידנד - </t>
    </r>
    <r>
      <rPr>
        <sz val="10"/>
        <color theme="1"/>
        <rFont val="Arial"/>
        <family val="2"/>
        <scheme val="minor"/>
      </rPr>
      <t>חולק למ"ר ולמ"ב כלהלן:</t>
    </r>
  </si>
  <si>
    <t>מ"ר:</t>
  </si>
  <si>
    <t>מ"ב:</t>
  </si>
  <si>
    <t>4*200000*5%=</t>
  </si>
  <si>
    <t>(12) חלק בשווי</t>
  </si>
  <si>
    <t>סה"כ הון:</t>
  </si>
  <si>
    <t>שיך למ"ר</t>
  </si>
  <si>
    <t>שיך למ"ב</t>
  </si>
  <si>
    <t>נדרש 1: תנועה בחשבון השקעה 2008-2010:</t>
  </si>
  <si>
    <t>נדרש 2: הרכב חשבון השקעה 2008-2010:</t>
  </si>
  <si>
    <t>נדרש 3: השפעה של הציוד על התנועה בחשבון השקעה ועל הרכב חשבון ההשקעה בשנת 2011:</t>
  </si>
  <si>
    <t xml:space="preserve">הסבר לייחוס </t>
  </si>
  <si>
    <t>אקוויטי בגין הני"ע</t>
  </si>
  <si>
    <t>איפוס קרן ההון שבזכות</t>
  </si>
  <si>
    <t>שאר המשיכה נרשמת מול אקוויטי</t>
  </si>
  <si>
    <t xml:space="preserve"> איפוס יתרת קרן ההון ליום 31.12.10</t>
  </si>
  <si>
    <t>נרשם מול קרן הון לצורך איפוס הקרן</t>
  </si>
  <si>
    <t>PN נרשם מול אקוויטי</t>
  </si>
  <si>
    <t>איפוס קרן הון</t>
  </si>
  <si>
    <t>(150000-120000)*0.4-5000=</t>
  </si>
  <si>
    <t>(130000-170000)*0.25+5000=</t>
  </si>
  <si>
    <t>7000*25/35=</t>
  </si>
  <si>
    <t xml:space="preserve">בסה"כ צריך למשוך מהכלולה- </t>
  </si>
  <si>
    <t>7000-2000-5000=</t>
  </si>
  <si>
    <t>5000-5000=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</si>
</sst>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0.0000%"/>
  </numFmts>
  <fonts count="1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22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u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u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2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5" fillId="2" borderId="0" xfId="0" applyFont="1" applyFill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4" fontId="0" fillId="0" borderId="0" xfId="1" applyNumberFormat="1" applyFont="1" applyAlignment="1">
      <alignment horizontal="center"/>
    </xf>
    <xf numFmtId="37" fontId="0" fillId="0" borderId="0" xfId="0" applyNumberFormat="1"/>
    <xf numFmtId="37" fontId="4" fillId="2" borderId="0" xfId="0" applyNumberFormat="1" applyFont="1" applyFill="1" applyAlignment="1">
      <alignment horizontal="center"/>
    </xf>
    <xf numFmtId="37" fontId="0" fillId="0" borderId="0" xfId="1" applyNumberFormat="1" applyFont="1"/>
    <xf numFmtId="37" fontId="0" fillId="0" borderId="1" xfId="1" applyNumberFormat="1" applyFont="1" applyBorder="1"/>
    <xf numFmtId="0" fontId="8" fillId="0" borderId="0" xfId="3" applyFont="1"/>
    <xf numFmtId="0" fontId="7" fillId="0" borderId="0" xfId="3"/>
    <xf numFmtId="0" fontId="7" fillId="0" borderId="0" xfId="3" applyFill="1"/>
    <xf numFmtId="165" fontId="7" fillId="0" borderId="0" xfId="3" applyNumberFormat="1" applyFill="1"/>
    <xf numFmtId="0" fontId="8" fillId="0" borderId="0" xfId="3" applyFont="1" applyFill="1"/>
    <xf numFmtId="0" fontId="7" fillId="0" borderId="0" xfId="3" applyFont="1" applyFill="1"/>
    <xf numFmtId="0" fontId="7" fillId="0" borderId="0" xfId="3" quotePrefix="1" applyFill="1"/>
    <xf numFmtId="43" fontId="7" fillId="0" borderId="0" xfId="3" applyNumberFormat="1" applyFill="1"/>
    <xf numFmtId="165" fontId="8" fillId="0" borderId="0" xfId="3" applyNumberFormat="1" applyFont="1" applyFill="1"/>
    <xf numFmtId="165" fontId="8" fillId="0" borderId="0" xfId="3" applyNumberFormat="1" applyFont="1"/>
    <xf numFmtId="165" fontId="7" fillId="0" borderId="0" xfId="3" applyNumberFormat="1"/>
    <xf numFmtId="0" fontId="7" fillId="0" borderId="0" xfId="3" quotePrefix="1"/>
    <xf numFmtId="0" fontId="8" fillId="0" borderId="0" xfId="3" quotePrefix="1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/>
    <xf numFmtId="165" fontId="7" fillId="0" borderId="0" xfId="3" applyNumberFormat="1" applyFont="1" applyFill="1"/>
    <xf numFmtId="0" fontId="8" fillId="0" borderId="0" xfId="3" applyFont="1" applyFill="1" applyAlignment="1"/>
    <xf numFmtId="0" fontId="9" fillId="0" borderId="0" xfId="3" applyFont="1" applyFill="1" applyAlignment="1">
      <alignment readingOrder="2"/>
    </xf>
    <xf numFmtId="0" fontId="9" fillId="0" borderId="0" xfId="3" applyFont="1" applyFill="1"/>
    <xf numFmtId="0" fontId="7" fillId="0" borderId="0" xfId="4" applyFont="1"/>
    <xf numFmtId="0" fontId="7" fillId="0" borderId="0" xfId="4"/>
    <xf numFmtId="0" fontId="7" fillId="0" borderId="0" xfId="4" quotePrefix="1" applyFont="1"/>
    <xf numFmtId="165" fontId="8" fillId="0" borderId="0" xfId="4" applyNumberFormat="1" applyFont="1"/>
    <xf numFmtId="165" fontId="7" fillId="0" borderId="0" xfId="4" applyNumberFormat="1"/>
    <xf numFmtId="165" fontId="7" fillId="0" borderId="0" xfId="4" applyNumberFormat="1" applyFont="1"/>
    <xf numFmtId="0" fontId="7" fillId="0" borderId="0" xfId="4" quotePrefix="1"/>
    <xf numFmtId="17" fontId="7" fillId="0" borderId="0" xfId="4" quotePrefix="1" applyNumberFormat="1" applyFont="1"/>
    <xf numFmtId="3" fontId="7" fillId="0" borderId="0" xfId="4" applyNumberFormat="1" applyFont="1"/>
    <xf numFmtId="0" fontId="7" fillId="0" borderId="0" xfId="4" quotePrefix="1" applyFont="1" applyFill="1"/>
    <xf numFmtId="165" fontId="7" fillId="0" borderId="2" xfId="3" applyNumberFormat="1" applyFill="1" applyBorder="1"/>
    <xf numFmtId="0" fontId="7" fillId="0" borderId="0" xfId="3" applyFont="1" applyFill="1" applyAlignment="1">
      <alignment horizontal="left"/>
    </xf>
    <xf numFmtId="3" fontId="7" fillId="0" borderId="0" xfId="3" applyNumberFormat="1" applyFill="1"/>
    <xf numFmtId="166" fontId="7" fillId="0" borderId="0" xfId="3" applyNumberFormat="1"/>
    <xf numFmtId="0" fontId="9" fillId="0" borderId="0" xfId="3" applyFont="1"/>
    <xf numFmtId="0" fontId="8" fillId="0" borderId="0" xfId="4" applyFont="1"/>
    <xf numFmtId="3" fontId="7" fillId="0" borderId="0" xfId="4" applyNumberFormat="1"/>
    <xf numFmtId="0" fontId="9" fillId="0" borderId="0" xfId="4" applyFont="1"/>
    <xf numFmtId="0" fontId="7" fillId="0" borderId="0" xfId="4" applyFill="1"/>
    <xf numFmtId="0" fontId="7" fillId="0" borderId="0" xfId="4" applyFont="1" applyFill="1"/>
    <xf numFmtId="0" fontId="10" fillId="4" borderId="0" xfId="0" applyFont="1" applyFill="1"/>
    <xf numFmtId="0" fontId="0" fillId="4" borderId="0" xfId="0" applyFill="1"/>
    <xf numFmtId="37" fontId="0" fillId="0" borderId="0" xfId="0" applyNumberFormat="1" applyAlignment="1">
      <alignment horizontal="center"/>
    </xf>
    <xf numFmtId="0" fontId="11" fillId="0" borderId="0" xfId="0" applyFont="1"/>
    <xf numFmtId="37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37" fontId="0" fillId="0" borderId="4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/>
    <xf numFmtId="0" fontId="11" fillId="4" borderId="0" xfId="0" applyFont="1" applyFill="1"/>
    <xf numFmtId="0" fontId="1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4" fontId="12" fillId="0" borderId="0" xfId="1" applyNumberFormat="1" applyFont="1"/>
    <xf numFmtId="164" fontId="12" fillId="0" borderId="0" xfId="0" applyNumberFormat="1" applyFont="1"/>
    <xf numFmtId="164" fontId="12" fillId="0" borderId="4" xfId="0" applyNumberFormat="1" applyFont="1" applyBorder="1"/>
    <xf numFmtId="0" fontId="14" fillId="0" borderId="0" xfId="0" applyFont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12" fillId="0" borderId="0" xfId="0" applyFont="1" applyAlignment="1">
      <alignment horizontal="right"/>
    </xf>
    <xf numFmtId="164" fontId="15" fillId="0" borderId="0" xfId="0" applyNumberFormat="1" applyFont="1"/>
    <xf numFmtId="164" fontId="12" fillId="0" borderId="4" xfId="1" applyNumberFormat="1" applyFont="1" applyBorder="1"/>
    <xf numFmtId="164" fontId="17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164" fontId="14" fillId="0" borderId="0" xfId="1" applyNumberFormat="1" applyFont="1"/>
    <xf numFmtId="0" fontId="18" fillId="0" borderId="0" xfId="0" applyFont="1"/>
    <xf numFmtId="164" fontId="14" fillId="0" borderId="3" xfId="1" applyNumberFormat="1" applyFont="1" applyBorder="1"/>
    <xf numFmtId="164" fontId="14" fillId="0" borderId="3" xfId="0" applyNumberFormat="1" applyFont="1" applyBorder="1"/>
    <xf numFmtId="0" fontId="14" fillId="0" borderId="0" xfId="0" applyFont="1" applyAlignment="1">
      <alignment horizontal="right"/>
    </xf>
    <xf numFmtId="164" fontId="14" fillId="0" borderId="4" xfId="0" applyNumberFormat="1" applyFont="1" applyBorder="1"/>
    <xf numFmtId="9" fontId="12" fillId="0" borderId="0" xfId="2" applyFont="1"/>
    <xf numFmtId="0" fontId="12" fillId="0" borderId="4" xfId="0" applyFont="1" applyBorder="1"/>
    <xf numFmtId="164" fontId="12" fillId="0" borderId="5" xfId="0" applyNumberFormat="1" applyFont="1" applyBorder="1"/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  <xf numFmtId="164" fontId="12" fillId="0" borderId="0" xfId="1" applyNumberFormat="1" applyFont="1" applyBorder="1"/>
    <xf numFmtId="164" fontId="15" fillId="0" borderId="0" xfId="0" applyNumberFormat="1" applyFont="1" applyBorder="1"/>
    <xf numFmtId="37" fontId="14" fillId="0" borderId="0" xfId="0" applyNumberFormat="1" applyFont="1"/>
    <xf numFmtId="37" fontId="12" fillId="0" borderId="0" xfId="1" applyNumberFormat="1" applyFont="1"/>
    <xf numFmtId="37" fontId="12" fillId="0" borderId="0" xfId="0" applyNumberFormat="1" applyFont="1"/>
    <xf numFmtId="37" fontId="12" fillId="0" borderId="4" xfId="0" applyNumberFormat="1" applyFont="1" applyBorder="1"/>
    <xf numFmtId="37" fontId="14" fillId="0" borderId="8" xfId="0" applyNumberFormat="1" applyFont="1" applyBorder="1"/>
    <xf numFmtId="37" fontId="12" fillId="0" borderId="0" xfId="1" applyNumberFormat="1" applyFont="1" applyAlignment="1">
      <alignment horizontal="right" indent="2"/>
    </xf>
    <xf numFmtId="37" fontId="14" fillId="0" borderId="9" xfId="1" applyNumberFormat="1" applyFont="1" applyBorder="1" applyAlignment="1">
      <alignment horizontal="right" indent="1"/>
    </xf>
    <xf numFmtId="37" fontId="12" fillId="0" borderId="0" xfId="0" applyNumberFormat="1" applyFont="1" applyAlignment="1">
      <alignment horizontal="right"/>
    </xf>
    <xf numFmtId="37" fontId="15" fillId="0" borderId="0" xfId="0" applyNumberFormat="1" applyFont="1"/>
    <xf numFmtId="37" fontId="15" fillId="0" borderId="4" xfId="0" applyNumberFormat="1" applyFont="1" applyBorder="1"/>
    <xf numFmtId="37" fontId="12" fillId="0" borderId="4" xfId="1" applyNumberFormat="1" applyFont="1" applyBorder="1"/>
    <xf numFmtId="37" fontId="17" fillId="0" borderId="0" xfId="0" applyNumberFormat="1" applyFont="1"/>
    <xf numFmtId="0" fontId="5" fillId="0" borderId="0" xfId="0" applyFont="1" applyFill="1"/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31</xdr:row>
      <xdr:rowOff>104775</xdr:rowOff>
    </xdr:from>
    <xdr:to>
      <xdr:col>15</xdr:col>
      <xdr:colOff>552450</xdr:colOff>
      <xdr:row>33</xdr:row>
      <xdr:rowOff>171450</xdr:rowOff>
    </xdr:to>
    <xdr:sp macro="" textlink="">
      <xdr:nvSpPr>
        <xdr:cNvPr id="2" name="TextBox 1"/>
        <xdr:cNvSpPr txBox="1"/>
      </xdr:nvSpPr>
      <xdr:spPr>
        <a:xfrm>
          <a:off x="11225993550" y="5572125"/>
          <a:ext cx="609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he-IL" sz="1100"/>
            <a:t>הנפקה</a:t>
          </a:r>
        </a:p>
      </xdr:txBody>
    </xdr:sp>
    <xdr:clientData/>
  </xdr:twoCellAnchor>
  <xdr:twoCellAnchor>
    <xdr:from>
      <xdr:col>13</xdr:col>
      <xdr:colOff>200025</xdr:colOff>
      <xdr:row>28</xdr:row>
      <xdr:rowOff>171451</xdr:rowOff>
    </xdr:from>
    <xdr:to>
      <xdr:col>14</xdr:col>
      <xdr:colOff>371475</xdr:colOff>
      <xdr:row>34</xdr:row>
      <xdr:rowOff>9526</xdr:rowOff>
    </xdr:to>
    <xdr:sp macro="" textlink="">
      <xdr:nvSpPr>
        <xdr:cNvPr id="3" name="TextBox 2"/>
        <xdr:cNvSpPr txBox="1"/>
      </xdr:nvSpPr>
      <xdr:spPr>
        <a:xfrm>
          <a:off x="11226860325" y="5095876"/>
          <a:ext cx="857250" cy="7429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he-IL" sz="1100"/>
            <a:t>תיקון הסתייגות כנגד עודפים י.פ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112776</xdr:colOff>
      <xdr:row>64</xdr:row>
      <xdr:rowOff>141350</xdr:rowOff>
    </xdr:from>
    <xdr:to>
      <xdr:col>10</xdr:col>
      <xdr:colOff>465201</xdr:colOff>
      <xdr:row>66</xdr:row>
      <xdr:rowOff>1523</xdr:rowOff>
    </xdr:to>
    <xdr:sp macro="" textlink="">
      <xdr:nvSpPr>
        <xdr:cNvPr id="2" name="סוגר מסולסל שמאלי 1"/>
        <xdr:cNvSpPr/>
      </xdr:nvSpPr>
      <xdr:spPr>
        <a:xfrm rot="5400000">
          <a:off x="11229222525" y="12430124"/>
          <a:ext cx="241173" cy="10382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9</xdr:col>
      <xdr:colOff>85725</xdr:colOff>
      <xdr:row>53</xdr:row>
      <xdr:rowOff>142875</xdr:rowOff>
    </xdr:from>
    <xdr:to>
      <xdr:col>10</xdr:col>
      <xdr:colOff>438150</xdr:colOff>
      <xdr:row>55</xdr:row>
      <xdr:rowOff>3048</xdr:rowOff>
    </xdr:to>
    <xdr:sp macro="" textlink="">
      <xdr:nvSpPr>
        <xdr:cNvPr id="4" name="סוגר מסולסל שמאלי 3"/>
        <xdr:cNvSpPr/>
      </xdr:nvSpPr>
      <xdr:spPr>
        <a:xfrm rot="5400000">
          <a:off x="11229249576" y="9955149"/>
          <a:ext cx="241173" cy="10382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342901</xdr:colOff>
      <xdr:row>75</xdr:row>
      <xdr:rowOff>133351</xdr:rowOff>
    </xdr:from>
    <xdr:to>
      <xdr:col>10</xdr:col>
      <xdr:colOff>352427</xdr:colOff>
      <xdr:row>76</xdr:row>
      <xdr:rowOff>155449</xdr:rowOff>
    </xdr:to>
    <xdr:sp macro="" textlink="">
      <xdr:nvSpPr>
        <xdr:cNvPr id="5" name="סוגר מסולסל שמאלי 4"/>
        <xdr:cNvSpPr/>
      </xdr:nvSpPr>
      <xdr:spPr>
        <a:xfrm rot="5400000">
          <a:off x="11229592475" y="14641449"/>
          <a:ext cx="212598" cy="152400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6</xdr:col>
      <xdr:colOff>676275</xdr:colOff>
      <xdr:row>75</xdr:row>
      <xdr:rowOff>123828</xdr:rowOff>
    </xdr:from>
    <xdr:to>
      <xdr:col>8</xdr:col>
      <xdr:colOff>142875</xdr:colOff>
      <xdr:row>76</xdr:row>
      <xdr:rowOff>171453</xdr:rowOff>
    </xdr:to>
    <xdr:sp macro="" textlink="">
      <xdr:nvSpPr>
        <xdr:cNvPr id="6" name="סוגר מסולסל שמאלי 5"/>
        <xdr:cNvSpPr/>
      </xdr:nvSpPr>
      <xdr:spPr>
        <a:xfrm rot="5400000">
          <a:off x="11231103712" y="14844716"/>
          <a:ext cx="238125" cy="11239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9</xdr:col>
      <xdr:colOff>180975</xdr:colOff>
      <xdr:row>263</xdr:row>
      <xdr:rowOff>95250</xdr:rowOff>
    </xdr:from>
    <xdr:to>
      <xdr:col>9</xdr:col>
      <xdr:colOff>504825</xdr:colOff>
      <xdr:row>263</xdr:row>
      <xdr:rowOff>95250</xdr:rowOff>
    </xdr:to>
    <xdr:cxnSp macro="">
      <xdr:nvCxnSpPr>
        <xdr:cNvPr id="9" name="מחבר חץ ישר 8"/>
        <xdr:cNvCxnSpPr/>
      </xdr:nvCxnSpPr>
      <xdr:spPr>
        <a:xfrm flipH="1">
          <a:off x="11229470175" y="51644550"/>
          <a:ext cx="323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263</xdr:row>
      <xdr:rowOff>180975</xdr:rowOff>
    </xdr:from>
    <xdr:to>
      <xdr:col>9</xdr:col>
      <xdr:colOff>476250</xdr:colOff>
      <xdr:row>264</xdr:row>
      <xdr:rowOff>123825</xdr:rowOff>
    </xdr:to>
    <xdr:cxnSp macro="">
      <xdr:nvCxnSpPr>
        <xdr:cNvPr id="13" name="מחבר חץ ישר 12"/>
        <xdr:cNvCxnSpPr/>
      </xdr:nvCxnSpPr>
      <xdr:spPr>
        <a:xfrm flipH="1">
          <a:off x="11229498750" y="51730275"/>
          <a:ext cx="30480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86</xdr:row>
      <xdr:rowOff>133351</xdr:rowOff>
    </xdr:from>
    <xdr:to>
      <xdr:col>8</xdr:col>
      <xdr:colOff>57150</xdr:colOff>
      <xdr:row>87</xdr:row>
      <xdr:rowOff>180976</xdr:rowOff>
    </xdr:to>
    <xdr:sp macro="" textlink="">
      <xdr:nvSpPr>
        <xdr:cNvPr id="19" name="סוגר מסולסל שמאלי 18"/>
        <xdr:cNvSpPr/>
      </xdr:nvSpPr>
      <xdr:spPr>
        <a:xfrm rot="5400000">
          <a:off x="11231189437" y="17330739"/>
          <a:ext cx="238125" cy="11239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9</xdr:col>
      <xdr:colOff>180975</xdr:colOff>
      <xdr:row>267</xdr:row>
      <xdr:rowOff>95250</xdr:rowOff>
    </xdr:from>
    <xdr:to>
      <xdr:col>9</xdr:col>
      <xdr:colOff>504825</xdr:colOff>
      <xdr:row>267</xdr:row>
      <xdr:rowOff>95250</xdr:rowOff>
    </xdr:to>
    <xdr:cxnSp macro="">
      <xdr:nvCxnSpPr>
        <xdr:cNvPr id="20" name="מחבר חץ ישר 19"/>
        <xdr:cNvCxnSpPr/>
      </xdr:nvCxnSpPr>
      <xdr:spPr>
        <a:xfrm flipH="1">
          <a:off x="11229470175" y="51263550"/>
          <a:ext cx="323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267</xdr:row>
      <xdr:rowOff>180975</xdr:rowOff>
    </xdr:from>
    <xdr:to>
      <xdr:col>9</xdr:col>
      <xdr:colOff>476250</xdr:colOff>
      <xdr:row>268</xdr:row>
      <xdr:rowOff>123825</xdr:rowOff>
    </xdr:to>
    <xdr:cxnSp macro="">
      <xdr:nvCxnSpPr>
        <xdr:cNvPr id="21" name="מחבר חץ ישר 20"/>
        <xdr:cNvCxnSpPr/>
      </xdr:nvCxnSpPr>
      <xdr:spPr>
        <a:xfrm flipH="1">
          <a:off x="11229498750" y="51349275"/>
          <a:ext cx="30480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rightToLeft="1" topLeftCell="A76" zoomScaleNormal="75" workbookViewId="0">
      <selection activeCell="A25" sqref="A25"/>
    </sheetView>
  </sheetViews>
  <sheetFormatPr defaultRowHeight="12.75"/>
  <cols>
    <col min="1" max="1" width="46.875" style="23" customWidth="1"/>
    <col min="2" max="2" width="10.75" style="23" bestFit="1" customWidth="1"/>
    <col min="3" max="3" width="8.625" style="23" bestFit="1" customWidth="1"/>
    <col min="4" max="4" width="9" style="23" bestFit="1" customWidth="1"/>
    <col min="5" max="5" width="9" style="23"/>
    <col min="6" max="6" width="9.5" style="23" bestFit="1" customWidth="1"/>
    <col min="7" max="7" width="8.875" style="23" customWidth="1"/>
    <col min="8" max="8" width="9" style="23"/>
    <col min="9" max="9" width="5.875" style="23" customWidth="1"/>
    <col min="10" max="10" width="18.25" style="23" bestFit="1" customWidth="1"/>
    <col min="11" max="11" width="28.625" style="23" bestFit="1" customWidth="1"/>
    <col min="12" max="256" width="9" style="23"/>
    <col min="257" max="257" width="46.875" style="23" customWidth="1"/>
    <col min="258" max="258" width="10.75" style="23" bestFit="1" customWidth="1"/>
    <col min="259" max="259" width="8.625" style="23" bestFit="1" customWidth="1"/>
    <col min="260" max="260" width="9" style="23" bestFit="1" customWidth="1"/>
    <col min="261" max="261" width="9" style="23"/>
    <col min="262" max="262" width="9.5" style="23" bestFit="1" customWidth="1"/>
    <col min="263" max="263" width="8.875" style="23" customWidth="1"/>
    <col min="264" max="264" width="9" style="23"/>
    <col min="265" max="265" width="5.875" style="23" customWidth="1"/>
    <col min="266" max="266" width="18.25" style="23" bestFit="1" customWidth="1"/>
    <col min="267" max="267" width="28.625" style="23" bestFit="1" customWidth="1"/>
    <col min="268" max="512" width="9" style="23"/>
    <col min="513" max="513" width="46.875" style="23" customWidth="1"/>
    <col min="514" max="514" width="10.75" style="23" bestFit="1" customWidth="1"/>
    <col min="515" max="515" width="8.625" style="23" bestFit="1" customWidth="1"/>
    <col min="516" max="516" width="9" style="23" bestFit="1" customWidth="1"/>
    <col min="517" max="517" width="9" style="23"/>
    <col min="518" max="518" width="9.5" style="23" bestFit="1" customWidth="1"/>
    <col min="519" max="519" width="8.875" style="23" customWidth="1"/>
    <col min="520" max="520" width="9" style="23"/>
    <col min="521" max="521" width="5.875" style="23" customWidth="1"/>
    <col min="522" max="522" width="18.25" style="23" bestFit="1" customWidth="1"/>
    <col min="523" max="523" width="28.625" style="23" bestFit="1" customWidth="1"/>
    <col min="524" max="768" width="9" style="23"/>
    <col min="769" max="769" width="46.875" style="23" customWidth="1"/>
    <col min="770" max="770" width="10.75" style="23" bestFit="1" customWidth="1"/>
    <col min="771" max="771" width="8.625" style="23" bestFit="1" customWidth="1"/>
    <col min="772" max="772" width="9" style="23" bestFit="1" customWidth="1"/>
    <col min="773" max="773" width="9" style="23"/>
    <col min="774" max="774" width="9.5" style="23" bestFit="1" customWidth="1"/>
    <col min="775" max="775" width="8.875" style="23" customWidth="1"/>
    <col min="776" max="776" width="9" style="23"/>
    <col min="777" max="777" width="5.875" style="23" customWidth="1"/>
    <col min="778" max="778" width="18.25" style="23" bestFit="1" customWidth="1"/>
    <col min="779" max="779" width="28.625" style="23" bestFit="1" customWidth="1"/>
    <col min="780" max="1024" width="9" style="23"/>
    <col min="1025" max="1025" width="46.875" style="23" customWidth="1"/>
    <col min="1026" max="1026" width="10.75" style="23" bestFit="1" customWidth="1"/>
    <col min="1027" max="1027" width="8.625" style="23" bestFit="1" customWidth="1"/>
    <col min="1028" max="1028" width="9" style="23" bestFit="1" customWidth="1"/>
    <col min="1029" max="1029" width="9" style="23"/>
    <col min="1030" max="1030" width="9.5" style="23" bestFit="1" customWidth="1"/>
    <col min="1031" max="1031" width="8.875" style="23" customWidth="1"/>
    <col min="1032" max="1032" width="9" style="23"/>
    <col min="1033" max="1033" width="5.875" style="23" customWidth="1"/>
    <col min="1034" max="1034" width="18.25" style="23" bestFit="1" customWidth="1"/>
    <col min="1035" max="1035" width="28.625" style="23" bestFit="1" customWidth="1"/>
    <col min="1036" max="1280" width="9" style="23"/>
    <col min="1281" max="1281" width="46.875" style="23" customWidth="1"/>
    <col min="1282" max="1282" width="10.75" style="23" bestFit="1" customWidth="1"/>
    <col min="1283" max="1283" width="8.625" style="23" bestFit="1" customWidth="1"/>
    <col min="1284" max="1284" width="9" style="23" bestFit="1" customWidth="1"/>
    <col min="1285" max="1285" width="9" style="23"/>
    <col min="1286" max="1286" width="9.5" style="23" bestFit="1" customWidth="1"/>
    <col min="1287" max="1287" width="8.875" style="23" customWidth="1"/>
    <col min="1288" max="1288" width="9" style="23"/>
    <col min="1289" max="1289" width="5.875" style="23" customWidth="1"/>
    <col min="1290" max="1290" width="18.25" style="23" bestFit="1" customWidth="1"/>
    <col min="1291" max="1291" width="28.625" style="23" bestFit="1" customWidth="1"/>
    <col min="1292" max="1536" width="9" style="23"/>
    <col min="1537" max="1537" width="46.875" style="23" customWidth="1"/>
    <col min="1538" max="1538" width="10.75" style="23" bestFit="1" customWidth="1"/>
    <col min="1539" max="1539" width="8.625" style="23" bestFit="1" customWidth="1"/>
    <col min="1540" max="1540" width="9" style="23" bestFit="1" customWidth="1"/>
    <col min="1541" max="1541" width="9" style="23"/>
    <col min="1542" max="1542" width="9.5" style="23" bestFit="1" customWidth="1"/>
    <col min="1543" max="1543" width="8.875" style="23" customWidth="1"/>
    <col min="1544" max="1544" width="9" style="23"/>
    <col min="1545" max="1545" width="5.875" style="23" customWidth="1"/>
    <col min="1546" max="1546" width="18.25" style="23" bestFit="1" customWidth="1"/>
    <col min="1547" max="1547" width="28.625" style="23" bestFit="1" customWidth="1"/>
    <col min="1548" max="1792" width="9" style="23"/>
    <col min="1793" max="1793" width="46.875" style="23" customWidth="1"/>
    <col min="1794" max="1794" width="10.75" style="23" bestFit="1" customWidth="1"/>
    <col min="1795" max="1795" width="8.625" style="23" bestFit="1" customWidth="1"/>
    <col min="1796" max="1796" width="9" style="23" bestFit="1" customWidth="1"/>
    <col min="1797" max="1797" width="9" style="23"/>
    <col min="1798" max="1798" width="9.5" style="23" bestFit="1" customWidth="1"/>
    <col min="1799" max="1799" width="8.875" style="23" customWidth="1"/>
    <col min="1800" max="1800" width="9" style="23"/>
    <col min="1801" max="1801" width="5.875" style="23" customWidth="1"/>
    <col min="1802" max="1802" width="18.25" style="23" bestFit="1" customWidth="1"/>
    <col min="1803" max="1803" width="28.625" style="23" bestFit="1" customWidth="1"/>
    <col min="1804" max="2048" width="9" style="23"/>
    <col min="2049" max="2049" width="46.875" style="23" customWidth="1"/>
    <col min="2050" max="2050" width="10.75" style="23" bestFit="1" customWidth="1"/>
    <col min="2051" max="2051" width="8.625" style="23" bestFit="1" customWidth="1"/>
    <col min="2052" max="2052" width="9" style="23" bestFit="1" customWidth="1"/>
    <col min="2053" max="2053" width="9" style="23"/>
    <col min="2054" max="2054" width="9.5" style="23" bestFit="1" customWidth="1"/>
    <col min="2055" max="2055" width="8.875" style="23" customWidth="1"/>
    <col min="2056" max="2056" width="9" style="23"/>
    <col min="2057" max="2057" width="5.875" style="23" customWidth="1"/>
    <col min="2058" max="2058" width="18.25" style="23" bestFit="1" customWidth="1"/>
    <col min="2059" max="2059" width="28.625" style="23" bestFit="1" customWidth="1"/>
    <col min="2060" max="2304" width="9" style="23"/>
    <col min="2305" max="2305" width="46.875" style="23" customWidth="1"/>
    <col min="2306" max="2306" width="10.75" style="23" bestFit="1" customWidth="1"/>
    <col min="2307" max="2307" width="8.625" style="23" bestFit="1" customWidth="1"/>
    <col min="2308" max="2308" width="9" style="23" bestFit="1" customWidth="1"/>
    <col min="2309" max="2309" width="9" style="23"/>
    <col min="2310" max="2310" width="9.5" style="23" bestFit="1" customWidth="1"/>
    <col min="2311" max="2311" width="8.875" style="23" customWidth="1"/>
    <col min="2312" max="2312" width="9" style="23"/>
    <col min="2313" max="2313" width="5.875" style="23" customWidth="1"/>
    <col min="2314" max="2314" width="18.25" style="23" bestFit="1" customWidth="1"/>
    <col min="2315" max="2315" width="28.625" style="23" bestFit="1" customWidth="1"/>
    <col min="2316" max="2560" width="9" style="23"/>
    <col min="2561" max="2561" width="46.875" style="23" customWidth="1"/>
    <col min="2562" max="2562" width="10.75" style="23" bestFit="1" customWidth="1"/>
    <col min="2563" max="2563" width="8.625" style="23" bestFit="1" customWidth="1"/>
    <col min="2564" max="2564" width="9" style="23" bestFit="1" customWidth="1"/>
    <col min="2565" max="2565" width="9" style="23"/>
    <col min="2566" max="2566" width="9.5" style="23" bestFit="1" customWidth="1"/>
    <col min="2567" max="2567" width="8.875" style="23" customWidth="1"/>
    <col min="2568" max="2568" width="9" style="23"/>
    <col min="2569" max="2569" width="5.875" style="23" customWidth="1"/>
    <col min="2570" max="2570" width="18.25" style="23" bestFit="1" customWidth="1"/>
    <col min="2571" max="2571" width="28.625" style="23" bestFit="1" customWidth="1"/>
    <col min="2572" max="2816" width="9" style="23"/>
    <col min="2817" max="2817" width="46.875" style="23" customWidth="1"/>
    <col min="2818" max="2818" width="10.75" style="23" bestFit="1" customWidth="1"/>
    <col min="2819" max="2819" width="8.625" style="23" bestFit="1" customWidth="1"/>
    <col min="2820" max="2820" width="9" style="23" bestFit="1" customWidth="1"/>
    <col min="2821" max="2821" width="9" style="23"/>
    <col min="2822" max="2822" width="9.5" style="23" bestFit="1" customWidth="1"/>
    <col min="2823" max="2823" width="8.875" style="23" customWidth="1"/>
    <col min="2824" max="2824" width="9" style="23"/>
    <col min="2825" max="2825" width="5.875" style="23" customWidth="1"/>
    <col min="2826" max="2826" width="18.25" style="23" bestFit="1" customWidth="1"/>
    <col min="2827" max="2827" width="28.625" style="23" bestFit="1" customWidth="1"/>
    <col min="2828" max="3072" width="9" style="23"/>
    <col min="3073" max="3073" width="46.875" style="23" customWidth="1"/>
    <col min="3074" max="3074" width="10.75" style="23" bestFit="1" customWidth="1"/>
    <col min="3075" max="3075" width="8.625" style="23" bestFit="1" customWidth="1"/>
    <col min="3076" max="3076" width="9" style="23" bestFit="1" customWidth="1"/>
    <col min="3077" max="3077" width="9" style="23"/>
    <col min="3078" max="3078" width="9.5" style="23" bestFit="1" customWidth="1"/>
    <col min="3079" max="3079" width="8.875" style="23" customWidth="1"/>
    <col min="3080" max="3080" width="9" style="23"/>
    <col min="3081" max="3081" width="5.875" style="23" customWidth="1"/>
    <col min="3082" max="3082" width="18.25" style="23" bestFit="1" customWidth="1"/>
    <col min="3083" max="3083" width="28.625" style="23" bestFit="1" customWidth="1"/>
    <col min="3084" max="3328" width="9" style="23"/>
    <col min="3329" max="3329" width="46.875" style="23" customWidth="1"/>
    <col min="3330" max="3330" width="10.75" style="23" bestFit="1" customWidth="1"/>
    <col min="3331" max="3331" width="8.625" style="23" bestFit="1" customWidth="1"/>
    <col min="3332" max="3332" width="9" style="23" bestFit="1" customWidth="1"/>
    <col min="3333" max="3333" width="9" style="23"/>
    <col min="3334" max="3334" width="9.5" style="23" bestFit="1" customWidth="1"/>
    <col min="3335" max="3335" width="8.875" style="23" customWidth="1"/>
    <col min="3336" max="3336" width="9" style="23"/>
    <col min="3337" max="3337" width="5.875" style="23" customWidth="1"/>
    <col min="3338" max="3338" width="18.25" style="23" bestFit="1" customWidth="1"/>
    <col min="3339" max="3339" width="28.625" style="23" bestFit="1" customWidth="1"/>
    <col min="3340" max="3584" width="9" style="23"/>
    <col min="3585" max="3585" width="46.875" style="23" customWidth="1"/>
    <col min="3586" max="3586" width="10.75" style="23" bestFit="1" customWidth="1"/>
    <col min="3587" max="3587" width="8.625" style="23" bestFit="1" customWidth="1"/>
    <col min="3588" max="3588" width="9" style="23" bestFit="1" customWidth="1"/>
    <col min="3589" max="3589" width="9" style="23"/>
    <col min="3590" max="3590" width="9.5" style="23" bestFit="1" customWidth="1"/>
    <col min="3591" max="3591" width="8.875" style="23" customWidth="1"/>
    <col min="3592" max="3592" width="9" style="23"/>
    <col min="3593" max="3593" width="5.875" style="23" customWidth="1"/>
    <col min="3594" max="3594" width="18.25" style="23" bestFit="1" customWidth="1"/>
    <col min="3595" max="3595" width="28.625" style="23" bestFit="1" customWidth="1"/>
    <col min="3596" max="3840" width="9" style="23"/>
    <col min="3841" max="3841" width="46.875" style="23" customWidth="1"/>
    <col min="3842" max="3842" width="10.75" style="23" bestFit="1" customWidth="1"/>
    <col min="3843" max="3843" width="8.625" style="23" bestFit="1" customWidth="1"/>
    <col min="3844" max="3844" width="9" style="23" bestFit="1" customWidth="1"/>
    <col min="3845" max="3845" width="9" style="23"/>
    <col min="3846" max="3846" width="9.5" style="23" bestFit="1" customWidth="1"/>
    <col min="3847" max="3847" width="8.875" style="23" customWidth="1"/>
    <col min="3848" max="3848" width="9" style="23"/>
    <col min="3849" max="3849" width="5.875" style="23" customWidth="1"/>
    <col min="3850" max="3850" width="18.25" style="23" bestFit="1" customWidth="1"/>
    <col min="3851" max="3851" width="28.625" style="23" bestFit="1" customWidth="1"/>
    <col min="3852" max="4096" width="9" style="23"/>
    <col min="4097" max="4097" width="46.875" style="23" customWidth="1"/>
    <col min="4098" max="4098" width="10.75" style="23" bestFit="1" customWidth="1"/>
    <col min="4099" max="4099" width="8.625" style="23" bestFit="1" customWidth="1"/>
    <col min="4100" max="4100" width="9" style="23" bestFit="1" customWidth="1"/>
    <col min="4101" max="4101" width="9" style="23"/>
    <col min="4102" max="4102" width="9.5" style="23" bestFit="1" customWidth="1"/>
    <col min="4103" max="4103" width="8.875" style="23" customWidth="1"/>
    <col min="4104" max="4104" width="9" style="23"/>
    <col min="4105" max="4105" width="5.875" style="23" customWidth="1"/>
    <col min="4106" max="4106" width="18.25" style="23" bestFit="1" customWidth="1"/>
    <col min="4107" max="4107" width="28.625" style="23" bestFit="1" customWidth="1"/>
    <col min="4108" max="4352" width="9" style="23"/>
    <col min="4353" max="4353" width="46.875" style="23" customWidth="1"/>
    <col min="4354" max="4354" width="10.75" style="23" bestFit="1" customWidth="1"/>
    <col min="4355" max="4355" width="8.625" style="23" bestFit="1" customWidth="1"/>
    <col min="4356" max="4356" width="9" style="23" bestFit="1" customWidth="1"/>
    <col min="4357" max="4357" width="9" style="23"/>
    <col min="4358" max="4358" width="9.5" style="23" bestFit="1" customWidth="1"/>
    <col min="4359" max="4359" width="8.875" style="23" customWidth="1"/>
    <col min="4360" max="4360" width="9" style="23"/>
    <col min="4361" max="4361" width="5.875" style="23" customWidth="1"/>
    <col min="4362" max="4362" width="18.25" style="23" bestFit="1" customWidth="1"/>
    <col min="4363" max="4363" width="28.625" style="23" bestFit="1" customWidth="1"/>
    <col min="4364" max="4608" width="9" style="23"/>
    <col min="4609" max="4609" width="46.875" style="23" customWidth="1"/>
    <col min="4610" max="4610" width="10.75" style="23" bestFit="1" customWidth="1"/>
    <col min="4611" max="4611" width="8.625" style="23" bestFit="1" customWidth="1"/>
    <col min="4612" max="4612" width="9" style="23" bestFit="1" customWidth="1"/>
    <col min="4613" max="4613" width="9" style="23"/>
    <col min="4614" max="4614" width="9.5" style="23" bestFit="1" customWidth="1"/>
    <col min="4615" max="4615" width="8.875" style="23" customWidth="1"/>
    <col min="4616" max="4616" width="9" style="23"/>
    <col min="4617" max="4617" width="5.875" style="23" customWidth="1"/>
    <col min="4618" max="4618" width="18.25" style="23" bestFit="1" customWidth="1"/>
    <col min="4619" max="4619" width="28.625" style="23" bestFit="1" customWidth="1"/>
    <col min="4620" max="4864" width="9" style="23"/>
    <col min="4865" max="4865" width="46.875" style="23" customWidth="1"/>
    <col min="4866" max="4866" width="10.75" style="23" bestFit="1" customWidth="1"/>
    <col min="4867" max="4867" width="8.625" style="23" bestFit="1" customWidth="1"/>
    <col min="4868" max="4868" width="9" style="23" bestFit="1" customWidth="1"/>
    <col min="4869" max="4869" width="9" style="23"/>
    <col min="4870" max="4870" width="9.5" style="23" bestFit="1" customWidth="1"/>
    <col min="4871" max="4871" width="8.875" style="23" customWidth="1"/>
    <col min="4872" max="4872" width="9" style="23"/>
    <col min="4873" max="4873" width="5.875" style="23" customWidth="1"/>
    <col min="4874" max="4874" width="18.25" style="23" bestFit="1" customWidth="1"/>
    <col min="4875" max="4875" width="28.625" style="23" bestFit="1" customWidth="1"/>
    <col min="4876" max="5120" width="9" style="23"/>
    <col min="5121" max="5121" width="46.875" style="23" customWidth="1"/>
    <col min="5122" max="5122" width="10.75" style="23" bestFit="1" customWidth="1"/>
    <col min="5123" max="5123" width="8.625" style="23" bestFit="1" customWidth="1"/>
    <col min="5124" max="5124" width="9" style="23" bestFit="1" customWidth="1"/>
    <col min="5125" max="5125" width="9" style="23"/>
    <col min="5126" max="5126" width="9.5" style="23" bestFit="1" customWidth="1"/>
    <col min="5127" max="5127" width="8.875" style="23" customWidth="1"/>
    <col min="5128" max="5128" width="9" style="23"/>
    <col min="5129" max="5129" width="5.875" style="23" customWidth="1"/>
    <col min="5130" max="5130" width="18.25" style="23" bestFit="1" customWidth="1"/>
    <col min="5131" max="5131" width="28.625" style="23" bestFit="1" customWidth="1"/>
    <col min="5132" max="5376" width="9" style="23"/>
    <col min="5377" max="5377" width="46.875" style="23" customWidth="1"/>
    <col min="5378" max="5378" width="10.75" style="23" bestFit="1" customWidth="1"/>
    <col min="5379" max="5379" width="8.625" style="23" bestFit="1" customWidth="1"/>
    <col min="5380" max="5380" width="9" style="23" bestFit="1" customWidth="1"/>
    <col min="5381" max="5381" width="9" style="23"/>
    <col min="5382" max="5382" width="9.5" style="23" bestFit="1" customWidth="1"/>
    <col min="5383" max="5383" width="8.875" style="23" customWidth="1"/>
    <col min="5384" max="5384" width="9" style="23"/>
    <col min="5385" max="5385" width="5.875" style="23" customWidth="1"/>
    <col min="5386" max="5386" width="18.25" style="23" bestFit="1" customWidth="1"/>
    <col min="5387" max="5387" width="28.625" style="23" bestFit="1" customWidth="1"/>
    <col min="5388" max="5632" width="9" style="23"/>
    <col min="5633" max="5633" width="46.875" style="23" customWidth="1"/>
    <col min="5634" max="5634" width="10.75" style="23" bestFit="1" customWidth="1"/>
    <col min="5635" max="5635" width="8.625" style="23" bestFit="1" customWidth="1"/>
    <col min="5636" max="5636" width="9" style="23" bestFit="1" customWidth="1"/>
    <col min="5637" max="5637" width="9" style="23"/>
    <col min="5638" max="5638" width="9.5" style="23" bestFit="1" customWidth="1"/>
    <col min="5639" max="5639" width="8.875" style="23" customWidth="1"/>
    <col min="5640" max="5640" width="9" style="23"/>
    <col min="5641" max="5641" width="5.875" style="23" customWidth="1"/>
    <col min="5642" max="5642" width="18.25" style="23" bestFit="1" customWidth="1"/>
    <col min="5643" max="5643" width="28.625" style="23" bestFit="1" customWidth="1"/>
    <col min="5644" max="5888" width="9" style="23"/>
    <col min="5889" max="5889" width="46.875" style="23" customWidth="1"/>
    <col min="5890" max="5890" width="10.75" style="23" bestFit="1" customWidth="1"/>
    <col min="5891" max="5891" width="8.625" style="23" bestFit="1" customWidth="1"/>
    <col min="5892" max="5892" width="9" style="23" bestFit="1" customWidth="1"/>
    <col min="5893" max="5893" width="9" style="23"/>
    <col min="5894" max="5894" width="9.5" style="23" bestFit="1" customWidth="1"/>
    <col min="5895" max="5895" width="8.875" style="23" customWidth="1"/>
    <col min="5896" max="5896" width="9" style="23"/>
    <col min="5897" max="5897" width="5.875" style="23" customWidth="1"/>
    <col min="5898" max="5898" width="18.25" style="23" bestFit="1" customWidth="1"/>
    <col min="5899" max="5899" width="28.625" style="23" bestFit="1" customWidth="1"/>
    <col min="5900" max="6144" width="9" style="23"/>
    <col min="6145" max="6145" width="46.875" style="23" customWidth="1"/>
    <col min="6146" max="6146" width="10.75" style="23" bestFit="1" customWidth="1"/>
    <col min="6147" max="6147" width="8.625" style="23" bestFit="1" customWidth="1"/>
    <col min="6148" max="6148" width="9" style="23" bestFit="1" customWidth="1"/>
    <col min="6149" max="6149" width="9" style="23"/>
    <col min="6150" max="6150" width="9.5" style="23" bestFit="1" customWidth="1"/>
    <col min="6151" max="6151" width="8.875" style="23" customWidth="1"/>
    <col min="6152" max="6152" width="9" style="23"/>
    <col min="6153" max="6153" width="5.875" style="23" customWidth="1"/>
    <col min="6154" max="6154" width="18.25" style="23" bestFit="1" customWidth="1"/>
    <col min="6155" max="6155" width="28.625" style="23" bestFit="1" customWidth="1"/>
    <col min="6156" max="6400" width="9" style="23"/>
    <col min="6401" max="6401" width="46.875" style="23" customWidth="1"/>
    <col min="6402" max="6402" width="10.75" style="23" bestFit="1" customWidth="1"/>
    <col min="6403" max="6403" width="8.625" style="23" bestFit="1" customWidth="1"/>
    <col min="6404" max="6404" width="9" style="23" bestFit="1" customWidth="1"/>
    <col min="6405" max="6405" width="9" style="23"/>
    <col min="6406" max="6406" width="9.5" style="23" bestFit="1" customWidth="1"/>
    <col min="6407" max="6407" width="8.875" style="23" customWidth="1"/>
    <col min="6408" max="6408" width="9" style="23"/>
    <col min="6409" max="6409" width="5.875" style="23" customWidth="1"/>
    <col min="6410" max="6410" width="18.25" style="23" bestFit="1" customWidth="1"/>
    <col min="6411" max="6411" width="28.625" style="23" bestFit="1" customWidth="1"/>
    <col min="6412" max="6656" width="9" style="23"/>
    <col min="6657" max="6657" width="46.875" style="23" customWidth="1"/>
    <col min="6658" max="6658" width="10.75" style="23" bestFit="1" customWidth="1"/>
    <col min="6659" max="6659" width="8.625" style="23" bestFit="1" customWidth="1"/>
    <col min="6660" max="6660" width="9" style="23" bestFit="1" customWidth="1"/>
    <col min="6661" max="6661" width="9" style="23"/>
    <col min="6662" max="6662" width="9.5" style="23" bestFit="1" customWidth="1"/>
    <col min="6663" max="6663" width="8.875" style="23" customWidth="1"/>
    <col min="6664" max="6664" width="9" style="23"/>
    <col min="6665" max="6665" width="5.875" style="23" customWidth="1"/>
    <col min="6666" max="6666" width="18.25" style="23" bestFit="1" customWidth="1"/>
    <col min="6667" max="6667" width="28.625" style="23" bestFit="1" customWidth="1"/>
    <col min="6668" max="6912" width="9" style="23"/>
    <col min="6913" max="6913" width="46.875" style="23" customWidth="1"/>
    <col min="6914" max="6914" width="10.75" style="23" bestFit="1" customWidth="1"/>
    <col min="6915" max="6915" width="8.625" style="23" bestFit="1" customWidth="1"/>
    <col min="6916" max="6916" width="9" style="23" bestFit="1" customWidth="1"/>
    <col min="6917" max="6917" width="9" style="23"/>
    <col min="6918" max="6918" width="9.5" style="23" bestFit="1" customWidth="1"/>
    <col min="6919" max="6919" width="8.875" style="23" customWidth="1"/>
    <col min="6920" max="6920" width="9" style="23"/>
    <col min="6921" max="6921" width="5.875" style="23" customWidth="1"/>
    <col min="6922" max="6922" width="18.25" style="23" bestFit="1" customWidth="1"/>
    <col min="6923" max="6923" width="28.625" style="23" bestFit="1" customWidth="1"/>
    <col min="6924" max="7168" width="9" style="23"/>
    <col min="7169" max="7169" width="46.875" style="23" customWidth="1"/>
    <col min="7170" max="7170" width="10.75" style="23" bestFit="1" customWidth="1"/>
    <col min="7171" max="7171" width="8.625" style="23" bestFit="1" customWidth="1"/>
    <col min="7172" max="7172" width="9" style="23" bestFit="1" customWidth="1"/>
    <col min="7173" max="7173" width="9" style="23"/>
    <col min="7174" max="7174" width="9.5" style="23" bestFit="1" customWidth="1"/>
    <col min="7175" max="7175" width="8.875" style="23" customWidth="1"/>
    <col min="7176" max="7176" width="9" style="23"/>
    <col min="7177" max="7177" width="5.875" style="23" customWidth="1"/>
    <col min="7178" max="7178" width="18.25" style="23" bestFit="1" customWidth="1"/>
    <col min="7179" max="7179" width="28.625" style="23" bestFit="1" customWidth="1"/>
    <col min="7180" max="7424" width="9" style="23"/>
    <col min="7425" max="7425" width="46.875" style="23" customWidth="1"/>
    <col min="7426" max="7426" width="10.75" style="23" bestFit="1" customWidth="1"/>
    <col min="7427" max="7427" width="8.625" style="23" bestFit="1" customWidth="1"/>
    <col min="7428" max="7428" width="9" style="23" bestFit="1" customWidth="1"/>
    <col min="7429" max="7429" width="9" style="23"/>
    <col min="7430" max="7430" width="9.5" style="23" bestFit="1" customWidth="1"/>
    <col min="7431" max="7431" width="8.875" style="23" customWidth="1"/>
    <col min="7432" max="7432" width="9" style="23"/>
    <col min="7433" max="7433" width="5.875" style="23" customWidth="1"/>
    <col min="7434" max="7434" width="18.25" style="23" bestFit="1" customWidth="1"/>
    <col min="7435" max="7435" width="28.625" style="23" bestFit="1" customWidth="1"/>
    <col min="7436" max="7680" width="9" style="23"/>
    <col min="7681" max="7681" width="46.875" style="23" customWidth="1"/>
    <col min="7682" max="7682" width="10.75" style="23" bestFit="1" customWidth="1"/>
    <col min="7683" max="7683" width="8.625" style="23" bestFit="1" customWidth="1"/>
    <col min="7684" max="7684" width="9" style="23" bestFit="1" customWidth="1"/>
    <col min="7685" max="7685" width="9" style="23"/>
    <col min="7686" max="7686" width="9.5" style="23" bestFit="1" customWidth="1"/>
    <col min="7687" max="7687" width="8.875" style="23" customWidth="1"/>
    <col min="7688" max="7688" width="9" style="23"/>
    <col min="7689" max="7689" width="5.875" style="23" customWidth="1"/>
    <col min="7690" max="7690" width="18.25" style="23" bestFit="1" customWidth="1"/>
    <col min="7691" max="7691" width="28.625" style="23" bestFit="1" customWidth="1"/>
    <col min="7692" max="7936" width="9" style="23"/>
    <col min="7937" max="7937" width="46.875" style="23" customWidth="1"/>
    <col min="7938" max="7938" width="10.75" style="23" bestFit="1" customWidth="1"/>
    <col min="7939" max="7939" width="8.625" style="23" bestFit="1" customWidth="1"/>
    <col min="7940" max="7940" width="9" style="23" bestFit="1" customWidth="1"/>
    <col min="7941" max="7941" width="9" style="23"/>
    <col min="7942" max="7942" width="9.5" style="23" bestFit="1" customWidth="1"/>
    <col min="7943" max="7943" width="8.875" style="23" customWidth="1"/>
    <col min="7944" max="7944" width="9" style="23"/>
    <col min="7945" max="7945" width="5.875" style="23" customWidth="1"/>
    <col min="7946" max="7946" width="18.25" style="23" bestFit="1" customWidth="1"/>
    <col min="7947" max="7947" width="28.625" style="23" bestFit="1" customWidth="1"/>
    <col min="7948" max="8192" width="9" style="23"/>
    <col min="8193" max="8193" width="46.875" style="23" customWidth="1"/>
    <col min="8194" max="8194" width="10.75" style="23" bestFit="1" customWidth="1"/>
    <col min="8195" max="8195" width="8.625" style="23" bestFit="1" customWidth="1"/>
    <col min="8196" max="8196" width="9" style="23" bestFit="1" customWidth="1"/>
    <col min="8197" max="8197" width="9" style="23"/>
    <col min="8198" max="8198" width="9.5" style="23" bestFit="1" customWidth="1"/>
    <col min="8199" max="8199" width="8.875" style="23" customWidth="1"/>
    <col min="8200" max="8200" width="9" style="23"/>
    <col min="8201" max="8201" width="5.875" style="23" customWidth="1"/>
    <col min="8202" max="8202" width="18.25" style="23" bestFit="1" customWidth="1"/>
    <col min="8203" max="8203" width="28.625" style="23" bestFit="1" customWidth="1"/>
    <col min="8204" max="8448" width="9" style="23"/>
    <col min="8449" max="8449" width="46.875" style="23" customWidth="1"/>
    <col min="8450" max="8450" width="10.75" style="23" bestFit="1" customWidth="1"/>
    <col min="8451" max="8451" width="8.625" style="23" bestFit="1" customWidth="1"/>
    <col min="8452" max="8452" width="9" style="23" bestFit="1" customWidth="1"/>
    <col min="8453" max="8453" width="9" style="23"/>
    <col min="8454" max="8454" width="9.5" style="23" bestFit="1" customWidth="1"/>
    <col min="8455" max="8455" width="8.875" style="23" customWidth="1"/>
    <col min="8456" max="8456" width="9" style="23"/>
    <col min="8457" max="8457" width="5.875" style="23" customWidth="1"/>
    <col min="8458" max="8458" width="18.25" style="23" bestFit="1" customWidth="1"/>
    <col min="8459" max="8459" width="28.625" style="23" bestFit="1" customWidth="1"/>
    <col min="8460" max="8704" width="9" style="23"/>
    <col min="8705" max="8705" width="46.875" style="23" customWidth="1"/>
    <col min="8706" max="8706" width="10.75" style="23" bestFit="1" customWidth="1"/>
    <col min="8707" max="8707" width="8.625" style="23" bestFit="1" customWidth="1"/>
    <col min="8708" max="8708" width="9" style="23" bestFit="1" customWidth="1"/>
    <col min="8709" max="8709" width="9" style="23"/>
    <col min="8710" max="8710" width="9.5" style="23" bestFit="1" customWidth="1"/>
    <col min="8711" max="8711" width="8.875" style="23" customWidth="1"/>
    <col min="8712" max="8712" width="9" style="23"/>
    <col min="8713" max="8713" width="5.875" style="23" customWidth="1"/>
    <col min="8714" max="8714" width="18.25" style="23" bestFit="1" customWidth="1"/>
    <col min="8715" max="8715" width="28.625" style="23" bestFit="1" customWidth="1"/>
    <col min="8716" max="8960" width="9" style="23"/>
    <col min="8961" max="8961" width="46.875" style="23" customWidth="1"/>
    <col min="8962" max="8962" width="10.75" style="23" bestFit="1" customWidth="1"/>
    <col min="8963" max="8963" width="8.625" style="23" bestFit="1" customWidth="1"/>
    <col min="8964" max="8964" width="9" style="23" bestFit="1" customWidth="1"/>
    <col min="8965" max="8965" width="9" style="23"/>
    <col min="8966" max="8966" width="9.5" style="23" bestFit="1" customWidth="1"/>
    <col min="8967" max="8967" width="8.875" style="23" customWidth="1"/>
    <col min="8968" max="8968" width="9" style="23"/>
    <col min="8969" max="8969" width="5.875" style="23" customWidth="1"/>
    <col min="8970" max="8970" width="18.25" style="23" bestFit="1" customWidth="1"/>
    <col min="8971" max="8971" width="28.625" style="23" bestFit="1" customWidth="1"/>
    <col min="8972" max="9216" width="9" style="23"/>
    <col min="9217" max="9217" width="46.875" style="23" customWidth="1"/>
    <col min="9218" max="9218" width="10.75" style="23" bestFit="1" customWidth="1"/>
    <col min="9219" max="9219" width="8.625" style="23" bestFit="1" customWidth="1"/>
    <col min="9220" max="9220" width="9" style="23" bestFit="1" customWidth="1"/>
    <col min="9221" max="9221" width="9" style="23"/>
    <col min="9222" max="9222" width="9.5" style="23" bestFit="1" customWidth="1"/>
    <col min="9223" max="9223" width="8.875" style="23" customWidth="1"/>
    <col min="9224" max="9224" width="9" style="23"/>
    <col min="9225" max="9225" width="5.875" style="23" customWidth="1"/>
    <col min="9226" max="9226" width="18.25" style="23" bestFit="1" customWidth="1"/>
    <col min="9227" max="9227" width="28.625" style="23" bestFit="1" customWidth="1"/>
    <col min="9228" max="9472" width="9" style="23"/>
    <col min="9473" max="9473" width="46.875" style="23" customWidth="1"/>
    <col min="9474" max="9474" width="10.75" style="23" bestFit="1" customWidth="1"/>
    <col min="9475" max="9475" width="8.625" style="23" bestFit="1" customWidth="1"/>
    <col min="9476" max="9476" width="9" style="23" bestFit="1" customWidth="1"/>
    <col min="9477" max="9477" width="9" style="23"/>
    <col min="9478" max="9478" width="9.5" style="23" bestFit="1" customWidth="1"/>
    <col min="9479" max="9479" width="8.875" style="23" customWidth="1"/>
    <col min="9480" max="9480" width="9" style="23"/>
    <col min="9481" max="9481" width="5.875" style="23" customWidth="1"/>
    <col min="9482" max="9482" width="18.25" style="23" bestFit="1" customWidth="1"/>
    <col min="9483" max="9483" width="28.625" style="23" bestFit="1" customWidth="1"/>
    <col min="9484" max="9728" width="9" style="23"/>
    <col min="9729" max="9729" width="46.875" style="23" customWidth="1"/>
    <col min="9730" max="9730" width="10.75" style="23" bestFit="1" customWidth="1"/>
    <col min="9731" max="9731" width="8.625" style="23" bestFit="1" customWidth="1"/>
    <col min="9732" max="9732" width="9" style="23" bestFit="1" customWidth="1"/>
    <col min="9733" max="9733" width="9" style="23"/>
    <col min="9734" max="9734" width="9.5" style="23" bestFit="1" customWidth="1"/>
    <col min="9735" max="9735" width="8.875" style="23" customWidth="1"/>
    <col min="9736" max="9736" width="9" style="23"/>
    <col min="9737" max="9737" width="5.875" style="23" customWidth="1"/>
    <col min="9738" max="9738" width="18.25" style="23" bestFit="1" customWidth="1"/>
    <col min="9739" max="9739" width="28.625" style="23" bestFit="1" customWidth="1"/>
    <col min="9740" max="9984" width="9" style="23"/>
    <col min="9985" max="9985" width="46.875" style="23" customWidth="1"/>
    <col min="9986" max="9986" width="10.75" style="23" bestFit="1" customWidth="1"/>
    <col min="9987" max="9987" width="8.625" style="23" bestFit="1" customWidth="1"/>
    <col min="9988" max="9988" width="9" style="23" bestFit="1" customWidth="1"/>
    <col min="9989" max="9989" width="9" style="23"/>
    <col min="9990" max="9990" width="9.5" style="23" bestFit="1" customWidth="1"/>
    <col min="9991" max="9991" width="8.875" style="23" customWidth="1"/>
    <col min="9992" max="9992" width="9" style="23"/>
    <col min="9993" max="9993" width="5.875" style="23" customWidth="1"/>
    <col min="9994" max="9994" width="18.25" style="23" bestFit="1" customWidth="1"/>
    <col min="9995" max="9995" width="28.625" style="23" bestFit="1" customWidth="1"/>
    <col min="9996" max="10240" width="9" style="23"/>
    <col min="10241" max="10241" width="46.875" style="23" customWidth="1"/>
    <col min="10242" max="10242" width="10.75" style="23" bestFit="1" customWidth="1"/>
    <col min="10243" max="10243" width="8.625" style="23" bestFit="1" customWidth="1"/>
    <col min="10244" max="10244" width="9" style="23" bestFit="1" customWidth="1"/>
    <col min="10245" max="10245" width="9" style="23"/>
    <col min="10246" max="10246" width="9.5" style="23" bestFit="1" customWidth="1"/>
    <col min="10247" max="10247" width="8.875" style="23" customWidth="1"/>
    <col min="10248" max="10248" width="9" style="23"/>
    <col min="10249" max="10249" width="5.875" style="23" customWidth="1"/>
    <col min="10250" max="10250" width="18.25" style="23" bestFit="1" customWidth="1"/>
    <col min="10251" max="10251" width="28.625" style="23" bestFit="1" customWidth="1"/>
    <col min="10252" max="10496" width="9" style="23"/>
    <col min="10497" max="10497" width="46.875" style="23" customWidth="1"/>
    <col min="10498" max="10498" width="10.75" style="23" bestFit="1" customWidth="1"/>
    <col min="10499" max="10499" width="8.625" style="23" bestFit="1" customWidth="1"/>
    <col min="10500" max="10500" width="9" style="23" bestFit="1" customWidth="1"/>
    <col min="10501" max="10501" width="9" style="23"/>
    <col min="10502" max="10502" width="9.5" style="23" bestFit="1" customWidth="1"/>
    <col min="10503" max="10503" width="8.875" style="23" customWidth="1"/>
    <col min="10504" max="10504" width="9" style="23"/>
    <col min="10505" max="10505" width="5.875" style="23" customWidth="1"/>
    <col min="10506" max="10506" width="18.25" style="23" bestFit="1" customWidth="1"/>
    <col min="10507" max="10507" width="28.625" style="23" bestFit="1" customWidth="1"/>
    <col min="10508" max="10752" width="9" style="23"/>
    <col min="10753" max="10753" width="46.875" style="23" customWidth="1"/>
    <col min="10754" max="10754" width="10.75" style="23" bestFit="1" customWidth="1"/>
    <col min="10755" max="10755" width="8.625" style="23" bestFit="1" customWidth="1"/>
    <col min="10756" max="10756" width="9" style="23" bestFit="1" customWidth="1"/>
    <col min="10757" max="10757" width="9" style="23"/>
    <col min="10758" max="10758" width="9.5" style="23" bestFit="1" customWidth="1"/>
    <col min="10759" max="10759" width="8.875" style="23" customWidth="1"/>
    <col min="10760" max="10760" width="9" style="23"/>
    <col min="10761" max="10761" width="5.875" style="23" customWidth="1"/>
    <col min="10762" max="10762" width="18.25" style="23" bestFit="1" customWidth="1"/>
    <col min="10763" max="10763" width="28.625" style="23" bestFit="1" customWidth="1"/>
    <col min="10764" max="11008" width="9" style="23"/>
    <col min="11009" max="11009" width="46.875" style="23" customWidth="1"/>
    <col min="11010" max="11010" width="10.75" style="23" bestFit="1" customWidth="1"/>
    <col min="11011" max="11011" width="8.625" style="23" bestFit="1" customWidth="1"/>
    <col min="11012" max="11012" width="9" style="23" bestFit="1" customWidth="1"/>
    <col min="11013" max="11013" width="9" style="23"/>
    <col min="11014" max="11014" width="9.5" style="23" bestFit="1" customWidth="1"/>
    <col min="11015" max="11015" width="8.875" style="23" customWidth="1"/>
    <col min="11016" max="11016" width="9" style="23"/>
    <col min="11017" max="11017" width="5.875" style="23" customWidth="1"/>
    <col min="11018" max="11018" width="18.25" style="23" bestFit="1" customWidth="1"/>
    <col min="11019" max="11019" width="28.625" style="23" bestFit="1" customWidth="1"/>
    <col min="11020" max="11264" width="9" style="23"/>
    <col min="11265" max="11265" width="46.875" style="23" customWidth="1"/>
    <col min="11266" max="11266" width="10.75" style="23" bestFit="1" customWidth="1"/>
    <col min="11267" max="11267" width="8.625" style="23" bestFit="1" customWidth="1"/>
    <col min="11268" max="11268" width="9" style="23" bestFit="1" customWidth="1"/>
    <col min="11269" max="11269" width="9" style="23"/>
    <col min="11270" max="11270" width="9.5" style="23" bestFit="1" customWidth="1"/>
    <col min="11271" max="11271" width="8.875" style="23" customWidth="1"/>
    <col min="11272" max="11272" width="9" style="23"/>
    <col min="11273" max="11273" width="5.875" style="23" customWidth="1"/>
    <col min="11274" max="11274" width="18.25" style="23" bestFit="1" customWidth="1"/>
    <col min="11275" max="11275" width="28.625" style="23" bestFit="1" customWidth="1"/>
    <col min="11276" max="11520" width="9" style="23"/>
    <col min="11521" max="11521" width="46.875" style="23" customWidth="1"/>
    <col min="11522" max="11522" width="10.75" style="23" bestFit="1" customWidth="1"/>
    <col min="11523" max="11523" width="8.625" style="23" bestFit="1" customWidth="1"/>
    <col min="11524" max="11524" width="9" style="23" bestFit="1" customWidth="1"/>
    <col min="11525" max="11525" width="9" style="23"/>
    <col min="11526" max="11526" width="9.5" style="23" bestFit="1" customWidth="1"/>
    <col min="11527" max="11527" width="8.875" style="23" customWidth="1"/>
    <col min="11528" max="11528" width="9" style="23"/>
    <col min="11529" max="11529" width="5.875" style="23" customWidth="1"/>
    <col min="11530" max="11530" width="18.25" style="23" bestFit="1" customWidth="1"/>
    <col min="11531" max="11531" width="28.625" style="23" bestFit="1" customWidth="1"/>
    <col min="11532" max="11776" width="9" style="23"/>
    <col min="11777" max="11777" width="46.875" style="23" customWidth="1"/>
    <col min="11778" max="11778" width="10.75" style="23" bestFit="1" customWidth="1"/>
    <col min="11779" max="11779" width="8.625" style="23" bestFit="1" customWidth="1"/>
    <col min="11780" max="11780" width="9" style="23" bestFit="1" customWidth="1"/>
    <col min="11781" max="11781" width="9" style="23"/>
    <col min="11782" max="11782" width="9.5" style="23" bestFit="1" customWidth="1"/>
    <col min="11783" max="11783" width="8.875" style="23" customWidth="1"/>
    <col min="11784" max="11784" width="9" style="23"/>
    <col min="11785" max="11785" width="5.875" style="23" customWidth="1"/>
    <col min="11786" max="11786" width="18.25" style="23" bestFit="1" customWidth="1"/>
    <col min="11787" max="11787" width="28.625" style="23" bestFit="1" customWidth="1"/>
    <col min="11788" max="12032" width="9" style="23"/>
    <col min="12033" max="12033" width="46.875" style="23" customWidth="1"/>
    <col min="12034" max="12034" width="10.75" style="23" bestFit="1" customWidth="1"/>
    <col min="12035" max="12035" width="8.625" style="23" bestFit="1" customWidth="1"/>
    <col min="12036" max="12036" width="9" style="23" bestFit="1" customWidth="1"/>
    <col min="12037" max="12037" width="9" style="23"/>
    <col min="12038" max="12038" width="9.5" style="23" bestFit="1" customWidth="1"/>
    <col min="12039" max="12039" width="8.875" style="23" customWidth="1"/>
    <col min="12040" max="12040" width="9" style="23"/>
    <col min="12041" max="12041" width="5.875" style="23" customWidth="1"/>
    <col min="12042" max="12042" width="18.25" style="23" bestFit="1" customWidth="1"/>
    <col min="12043" max="12043" width="28.625" style="23" bestFit="1" customWidth="1"/>
    <col min="12044" max="12288" width="9" style="23"/>
    <col min="12289" max="12289" width="46.875" style="23" customWidth="1"/>
    <col min="12290" max="12290" width="10.75" style="23" bestFit="1" customWidth="1"/>
    <col min="12291" max="12291" width="8.625" style="23" bestFit="1" customWidth="1"/>
    <col min="12292" max="12292" width="9" style="23" bestFit="1" customWidth="1"/>
    <col min="12293" max="12293" width="9" style="23"/>
    <col min="12294" max="12294" width="9.5" style="23" bestFit="1" customWidth="1"/>
    <col min="12295" max="12295" width="8.875" style="23" customWidth="1"/>
    <col min="12296" max="12296" width="9" style="23"/>
    <col min="12297" max="12297" width="5.875" style="23" customWidth="1"/>
    <col min="12298" max="12298" width="18.25" style="23" bestFit="1" customWidth="1"/>
    <col min="12299" max="12299" width="28.625" style="23" bestFit="1" customWidth="1"/>
    <col min="12300" max="12544" width="9" style="23"/>
    <col min="12545" max="12545" width="46.875" style="23" customWidth="1"/>
    <col min="12546" max="12546" width="10.75" style="23" bestFit="1" customWidth="1"/>
    <col min="12547" max="12547" width="8.625" style="23" bestFit="1" customWidth="1"/>
    <col min="12548" max="12548" width="9" style="23" bestFit="1" customWidth="1"/>
    <col min="12549" max="12549" width="9" style="23"/>
    <col min="12550" max="12550" width="9.5" style="23" bestFit="1" customWidth="1"/>
    <col min="12551" max="12551" width="8.875" style="23" customWidth="1"/>
    <col min="12552" max="12552" width="9" style="23"/>
    <col min="12553" max="12553" width="5.875" style="23" customWidth="1"/>
    <col min="12554" max="12554" width="18.25" style="23" bestFit="1" customWidth="1"/>
    <col min="12555" max="12555" width="28.625" style="23" bestFit="1" customWidth="1"/>
    <col min="12556" max="12800" width="9" style="23"/>
    <col min="12801" max="12801" width="46.875" style="23" customWidth="1"/>
    <col min="12802" max="12802" width="10.75" style="23" bestFit="1" customWidth="1"/>
    <col min="12803" max="12803" width="8.625" style="23" bestFit="1" customWidth="1"/>
    <col min="12804" max="12804" width="9" style="23" bestFit="1" customWidth="1"/>
    <col min="12805" max="12805" width="9" style="23"/>
    <col min="12806" max="12806" width="9.5" style="23" bestFit="1" customWidth="1"/>
    <col min="12807" max="12807" width="8.875" style="23" customWidth="1"/>
    <col min="12808" max="12808" width="9" style="23"/>
    <col min="12809" max="12809" width="5.875" style="23" customWidth="1"/>
    <col min="12810" max="12810" width="18.25" style="23" bestFit="1" customWidth="1"/>
    <col min="12811" max="12811" width="28.625" style="23" bestFit="1" customWidth="1"/>
    <col min="12812" max="13056" width="9" style="23"/>
    <col min="13057" max="13057" width="46.875" style="23" customWidth="1"/>
    <col min="13058" max="13058" width="10.75" style="23" bestFit="1" customWidth="1"/>
    <col min="13059" max="13059" width="8.625" style="23" bestFit="1" customWidth="1"/>
    <col min="13060" max="13060" width="9" style="23" bestFit="1" customWidth="1"/>
    <col min="13061" max="13061" width="9" style="23"/>
    <col min="13062" max="13062" width="9.5" style="23" bestFit="1" customWidth="1"/>
    <col min="13063" max="13063" width="8.875" style="23" customWidth="1"/>
    <col min="13064" max="13064" width="9" style="23"/>
    <col min="13065" max="13065" width="5.875" style="23" customWidth="1"/>
    <col min="13066" max="13066" width="18.25" style="23" bestFit="1" customWidth="1"/>
    <col min="13067" max="13067" width="28.625" style="23" bestFit="1" customWidth="1"/>
    <col min="13068" max="13312" width="9" style="23"/>
    <col min="13313" max="13313" width="46.875" style="23" customWidth="1"/>
    <col min="13314" max="13314" width="10.75" style="23" bestFit="1" customWidth="1"/>
    <col min="13315" max="13315" width="8.625" style="23" bestFit="1" customWidth="1"/>
    <col min="13316" max="13316" width="9" style="23" bestFit="1" customWidth="1"/>
    <col min="13317" max="13317" width="9" style="23"/>
    <col min="13318" max="13318" width="9.5" style="23" bestFit="1" customWidth="1"/>
    <col min="13319" max="13319" width="8.875" style="23" customWidth="1"/>
    <col min="13320" max="13320" width="9" style="23"/>
    <col min="13321" max="13321" width="5.875" style="23" customWidth="1"/>
    <col min="13322" max="13322" width="18.25" style="23" bestFit="1" customWidth="1"/>
    <col min="13323" max="13323" width="28.625" style="23" bestFit="1" customWidth="1"/>
    <col min="13324" max="13568" width="9" style="23"/>
    <col min="13569" max="13569" width="46.875" style="23" customWidth="1"/>
    <col min="13570" max="13570" width="10.75" style="23" bestFit="1" customWidth="1"/>
    <col min="13571" max="13571" width="8.625" style="23" bestFit="1" customWidth="1"/>
    <col min="13572" max="13572" width="9" style="23" bestFit="1" customWidth="1"/>
    <col min="13573" max="13573" width="9" style="23"/>
    <col min="13574" max="13574" width="9.5" style="23" bestFit="1" customWidth="1"/>
    <col min="13575" max="13575" width="8.875" style="23" customWidth="1"/>
    <col min="13576" max="13576" width="9" style="23"/>
    <col min="13577" max="13577" width="5.875" style="23" customWidth="1"/>
    <col min="13578" max="13578" width="18.25" style="23" bestFit="1" customWidth="1"/>
    <col min="13579" max="13579" width="28.625" style="23" bestFit="1" customWidth="1"/>
    <col min="13580" max="13824" width="9" style="23"/>
    <col min="13825" max="13825" width="46.875" style="23" customWidth="1"/>
    <col min="13826" max="13826" width="10.75" style="23" bestFit="1" customWidth="1"/>
    <col min="13827" max="13827" width="8.625" style="23" bestFit="1" customWidth="1"/>
    <col min="13828" max="13828" width="9" style="23" bestFit="1" customWidth="1"/>
    <col min="13829" max="13829" width="9" style="23"/>
    <col min="13830" max="13830" width="9.5" style="23" bestFit="1" customWidth="1"/>
    <col min="13831" max="13831" width="8.875" style="23" customWidth="1"/>
    <col min="13832" max="13832" width="9" style="23"/>
    <col min="13833" max="13833" width="5.875" style="23" customWidth="1"/>
    <col min="13834" max="13834" width="18.25" style="23" bestFit="1" customWidth="1"/>
    <col min="13835" max="13835" width="28.625" style="23" bestFit="1" customWidth="1"/>
    <col min="13836" max="14080" width="9" style="23"/>
    <col min="14081" max="14081" width="46.875" style="23" customWidth="1"/>
    <col min="14082" max="14082" width="10.75" style="23" bestFit="1" customWidth="1"/>
    <col min="14083" max="14083" width="8.625" style="23" bestFit="1" customWidth="1"/>
    <col min="14084" max="14084" width="9" style="23" bestFit="1" customWidth="1"/>
    <col min="14085" max="14085" width="9" style="23"/>
    <col min="14086" max="14086" width="9.5" style="23" bestFit="1" customWidth="1"/>
    <col min="14087" max="14087" width="8.875" style="23" customWidth="1"/>
    <col min="14088" max="14088" width="9" style="23"/>
    <col min="14089" max="14089" width="5.875" style="23" customWidth="1"/>
    <col min="14090" max="14090" width="18.25" style="23" bestFit="1" customWidth="1"/>
    <col min="14091" max="14091" width="28.625" style="23" bestFit="1" customWidth="1"/>
    <col min="14092" max="14336" width="9" style="23"/>
    <col min="14337" max="14337" width="46.875" style="23" customWidth="1"/>
    <col min="14338" max="14338" width="10.75" style="23" bestFit="1" customWidth="1"/>
    <col min="14339" max="14339" width="8.625" style="23" bestFit="1" customWidth="1"/>
    <col min="14340" max="14340" width="9" style="23" bestFit="1" customWidth="1"/>
    <col min="14341" max="14341" width="9" style="23"/>
    <col min="14342" max="14342" width="9.5" style="23" bestFit="1" customWidth="1"/>
    <col min="14343" max="14343" width="8.875" style="23" customWidth="1"/>
    <col min="14344" max="14344" width="9" style="23"/>
    <col min="14345" max="14345" width="5.875" style="23" customWidth="1"/>
    <col min="14346" max="14346" width="18.25" style="23" bestFit="1" customWidth="1"/>
    <col min="14347" max="14347" width="28.625" style="23" bestFit="1" customWidth="1"/>
    <col min="14348" max="14592" width="9" style="23"/>
    <col min="14593" max="14593" width="46.875" style="23" customWidth="1"/>
    <col min="14594" max="14594" width="10.75" style="23" bestFit="1" customWidth="1"/>
    <col min="14595" max="14595" width="8.625" style="23" bestFit="1" customWidth="1"/>
    <col min="14596" max="14596" width="9" style="23" bestFit="1" customWidth="1"/>
    <col min="14597" max="14597" width="9" style="23"/>
    <col min="14598" max="14598" width="9.5" style="23" bestFit="1" customWidth="1"/>
    <col min="14599" max="14599" width="8.875" style="23" customWidth="1"/>
    <col min="14600" max="14600" width="9" style="23"/>
    <col min="14601" max="14601" width="5.875" style="23" customWidth="1"/>
    <col min="14602" max="14602" width="18.25" style="23" bestFit="1" customWidth="1"/>
    <col min="14603" max="14603" width="28.625" style="23" bestFit="1" customWidth="1"/>
    <col min="14604" max="14848" width="9" style="23"/>
    <col min="14849" max="14849" width="46.875" style="23" customWidth="1"/>
    <col min="14850" max="14850" width="10.75" style="23" bestFit="1" customWidth="1"/>
    <col min="14851" max="14851" width="8.625" style="23" bestFit="1" customWidth="1"/>
    <col min="14852" max="14852" width="9" style="23" bestFit="1" customWidth="1"/>
    <col min="14853" max="14853" width="9" style="23"/>
    <col min="14854" max="14854" width="9.5" style="23" bestFit="1" customWidth="1"/>
    <col min="14855" max="14855" width="8.875" style="23" customWidth="1"/>
    <col min="14856" max="14856" width="9" style="23"/>
    <col min="14857" max="14857" width="5.875" style="23" customWidth="1"/>
    <col min="14858" max="14858" width="18.25" style="23" bestFit="1" customWidth="1"/>
    <col min="14859" max="14859" width="28.625" style="23" bestFit="1" customWidth="1"/>
    <col min="14860" max="15104" width="9" style="23"/>
    <col min="15105" max="15105" width="46.875" style="23" customWidth="1"/>
    <col min="15106" max="15106" width="10.75" style="23" bestFit="1" customWidth="1"/>
    <col min="15107" max="15107" width="8.625" style="23" bestFit="1" customWidth="1"/>
    <col min="15108" max="15108" width="9" style="23" bestFit="1" customWidth="1"/>
    <col min="15109" max="15109" width="9" style="23"/>
    <col min="15110" max="15110" width="9.5" style="23" bestFit="1" customWidth="1"/>
    <col min="15111" max="15111" width="8.875" style="23" customWidth="1"/>
    <col min="15112" max="15112" width="9" style="23"/>
    <col min="15113" max="15113" width="5.875" style="23" customWidth="1"/>
    <col min="15114" max="15114" width="18.25" style="23" bestFit="1" customWidth="1"/>
    <col min="15115" max="15115" width="28.625" style="23" bestFit="1" customWidth="1"/>
    <col min="15116" max="15360" width="9" style="23"/>
    <col min="15361" max="15361" width="46.875" style="23" customWidth="1"/>
    <col min="15362" max="15362" width="10.75" style="23" bestFit="1" customWidth="1"/>
    <col min="15363" max="15363" width="8.625" style="23" bestFit="1" customWidth="1"/>
    <col min="15364" max="15364" width="9" style="23" bestFit="1" customWidth="1"/>
    <col min="15365" max="15365" width="9" style="23"/>
    <col min="15366" max="15366" width="9.5" style="23" bestFit="1" customWidth="1"/>
    <col min="15367" max="15367" width="8.875" style="23" customWidth="1"/>
    <col min="15368" max="15368" width="9" style="23"/>
    <col min="15369" max="15369" width="5.875" style="23" customWidth="1"/>
    <col min="15370" max="15370" width="18.25" style="23" bestFit="1" customWidth="1"/>
    <col min="15371" max="15371" width="28.625" style="23" bestFit="1" customWidth="1"/>
    <col min="15372" max="15616" width="9" style="23"/>
    <col min="15617" max="15617" width="46.875" style="23" customWidth="1"/>
    <col min="15618" max="15618" width="10.75" style="23" bestFit="1" customWidth="1"/>
    <col min="15619" max="15619" width="8.625" style="23" bestFit="1" customWidth="1"/>
    <col min="15620" max="15620" width="9" style="23" bestFit="1" customWidth="1"/>
    <col min="15621" max="15621" width="9" style="23"/>
    <col min="15622" max="15622" width="9.5" style="23" bestFit="1" customWidth="1"/>
    <col min="15623" max="15623" width="8.875" style="23" customWidth="1"/>
    <col min="15624" max="15624" width="9" style="23"/>
    <col min="15625" max="15625" width="5.875" style="23" customWidth="1"/>
    <col min="15626" max="15626" width="18.25" style="23" bestFit="1" customWidth="1"/>
    <col min="15627" max="15627" width="28.625" style="23" bestFit="1" customWidth="1"/>
    <col min="15628" max="15872" width="9" style="23"/>
    <col min="15873" max="15873" width="46.875" style="23" customWidth="1"/>
    <col min="15874" max="15874" width="10.75" style="23" bestFit="1" customWidth="1"/>
    <col min="15875" max="15875" width="8.625" style="23" bestFit="1" customWidth="1"/>
    <col min="15876" max="15876" width="9" style="23" bestFit="1" customWidth="1"/>
    <col min="15877" max="15877" width="9" style="23"/>
    <col min="15878" max="15878" width="9.5" style="23" bestFit="1" customWidth="1"/>
    <col min="15879" max="15879" width="8.875" style="23" customWidth="1"/>
    <col min="15880" max="15880" width="9" style="23"/>
    <col min="15881" max="15881" width="5.875" style="23" customWidth="1"/>
    <col min="15882" max="15882" width="18.25" style="23" bestFit="1" customWidth="1"/>
    <col min="15883" max="15883" width="28.625" style="23" bestFit="1" customWidth="1"/>
    <col min="15884" max="16128" width="9" style="23"/>
    <col min="16129" max="16129" width="46.875" style="23" customWidth="1"/>
    <col min="16130" max="16130" width="10.75" style="23" bestFit="1" customWidth="1"/>
    <col min="16131" max="16131" width="8.625" style="23" bestFit="1" customWidth="1"/>
    <col min="16132" max="16132" width="9" style="23" bestFit="1" customWidth="1"/>
    <col min="16133" max="16133" width="9" style="23"/>
    <col min="16134" max="16134" width="9.5" style="23" bestFit="1" customWidth="1"/>
    <col min="16135" max="16135" width="8.875" style="23" customWidth="1"/>
    <col min="16136" max="16136" width="9" style="23"/>
    <col min="16137" max="16137" width="5.875" style="23" customWidth="1"/>
    <col min="16138" max="16138" width="18.25" style="23" bestFit="1" customWidth="1"/>
    <col min="16139" max="16139" width="28.625" style="23" bestFit="1" customWidth="1"/>
    <col min="16140" max="16384" width="9" style="23"/>
  </cols>
  <sheetData>
    <row r="1" spans="1:9">
      <c r="A1" s="22" t="s">
        <v>201</v>
      </c>
    </row>
    <row r="2" spans="1:9">
      <c r="A2" s="22" t="s">
        <v>202</v>
      </c>
    </row>
    <row r="3" spans="1:9">
      <c r="A3" s="22"/>
    </row>
    <row r="4" spans="1:9">
      <c r="A4" s="22" t="s">
        <v>203</v>
      </c>
    </row>
    <row r="6" spans="1:9" s="24" customFormat="1">
      <c r="A6" s="24" t="s">
        <v>204</v>
      </c>
      <c r="B6" s="25">
        <v>500000</v>
      </c>
    </row>
    <row r="7" spans="1:9" s="24" customFormat="1">
      <c r="A7" s="26" t="s">
        <v>205</v>
      </c>
      <c r="B7" s="25"/>
    </row>
    <row r="8" spans="1:9" s="24" customFormat="1">
      <c r="A8" s="27" t="s">
        <v>206</v>
      </c>
      <c r="B8" s="25">
        <f>60000/19.75</f>
        <v>3037.9746835443038</v>
      </c>
      <c r="C8" s="24" t="s">
        <v>207</v>
      </c>
      <c r="G8" s="28" t="s">
        <v>208</v>
      </c>
      <c r="I8" s="29"/>
    </row>
    <row r="9" spans="1:9" s="24" customFormat="1">
      <c r="A9" s="27" t="s">
        <v>209</v>
      </c>
      <c r="B9" s="25">
        <v>3333.3333333333335</v>
      </c>
      <c r="C9" s="24" t="s">
        <v>207</v>
      </c>
      <c r="G9" s="28" t="s">
        <v>210</v>
      </c>
    </row>
    <row r="10" spans="1:9" s="24" customFormat="1">
      <c r="A10" s="27" t="s">
        <v>211</v>
      </c>
      <c r="B10" s="25">
        <v>100000</v>
      </c>
      <c r="C10" s="24" t="s">
        <v>207</v>
      </c>
      <c r="G10" s="28"/>
    </row>
    <row r="11" spans="1:9" s="24" customFormat="1">
      <c r="A11" s="27" t="s">
        <v>212</v>
      </c>
      <c r="B11" s="25">
        <v>5000</v>
      </c>
      <c r="G11" s="28"/>
    </row>
    <row r="12" spans="1:9" s="24" customFormat="1">
      <c r="A12" s="27" t="s">
        <v>213</v>
      </c>
      <c r="B12" s="25">
        <v>10000</v>
      </c>
      <c r="G12" s="28"/>
    </row>
    <row r="13" spans="1:9" s="24" customFormat="1">
      <c r="A13" s="27" t="s">
        <v>214</v>
      </c>
      <c r="B13" s="25">
        <v>20000</v>
      </c>
    </row>
    <row r="14" spans="1:9" s="24" customFormat="1">
      <c r="A14" s="27"/>
      <c r="B14" s="30">
        <f>SUM(B8:B13)</f>
        <v>141371.30801687762</v>
      </c>
    </row>
    <row r="15" spans="1:9" s="24" customFormat="1">
      <c r="A15" s="27"/>
    </row>
    <row r="16" spans="1:9" s="24" customFormat="1">
      <c r="A16" s="26" t="s">
        <v>215</v>
      </c>
      <c r="B16" s="25"/>
    </row>
    <row r="17" spans="1:7" s="24" customFormat="1">
      <c r="A17" s="27" t="s">
        <v>216</v>
      </c>
      <c r="B17" s="25">
        <v>50000</v>
      </c>
      <c r="C17" s="27" t="s">
        <v>207</v>
      </c>
      <c r="D17" s="27" t="s">
        <v>217</v>
      </c>
      <c r="G17" s="28"/>
    </row>
    <row r="18" spans="1:7" s="24" customFormat="1">
      <c r="A18" s="27" t="s">
        <v>218</v>
      </c>
      <c r="B18" s="25">
        <f>50000/20</f>
        <v>2500</v>
      </c>
      <c r="C18" s="24" t="s">
        <v>207</v>
      </c>
      <c r="G18" s="28" t="s">
        <v>219</v>
      </c>
    </row>
    <row r="19" spans="1:7" s="24" customFormat="1">
      <c r="A19" s="27" t="s">
        <v>220</v>
      </c>
      <c r="B19" s="25">
        <f>200000/10*0.5</f>
        <v>10000</v>
      </c>
      <c r="G19" s="28" t="s">
        <v>221</v>
      </c>
    </row>
    <row r="20" spans="1:7" s="24" customFormat="1">
      <c r="A20" s="27" t="s">
        <v>222</v>
      </c>
      <c r="B20" s="25">
        <f>40000/10</f>
        <v>4000</v>
      </c>
      <c r="C20" s="24" t="s">
        <v>207</v>
      </c>
      <c r="G20" s="28" t="s">
        <v>223</v>
      </c>
    </row>
    <row r="21" spans="1:7" s="24" customFormat="1">
      <c r="A21" s="27" t="s">
        <v>224</v>
      </c>
      <c r="B21" s="25">
        <v>5333</v>
      </c>
      <c r="C21" s="24" t="s">
        <v>207</v>
      </c>
      <c r="G21" s="28"/>
    </row>
    <row r="22" spans="1:7" s="24" customFormat="1">
      <c r="A22" s="27" t="s">
        <v>225</v>
      </c>
      <c r="B22" s="25">
        <v>20000</v>
      </c>
      <c r="C22" s="24" t="s">
        <v>207</v>
      </c>
      <c r="G22" s="28"/>
    </row>
    <row r="23" spans="1:7" s="24" customFormat="1">
      <c r="A23" s="27" t="s">
        <v>226</v>
      </c>
      <c r="B23" s="25">
        <v>50000</v>
      </c>
      <c r="G23" s="28"/>
    </row>
    <row r="24" spans="1:7" s="24" customFormat="1">
      <c r="B24" s="30">
        <f>SUM(B17:B23)</f>
        <v>141833</v>
      </c>
    </row>
    <row r="25" spans="1:7" s="24" customFormat="1">
      <c r="B25" s="25"/>
    </row>
    <row r="26" spans="1:7">
      <c r="A26" s="22" t="s">
        <v>227</v>
      </c>
      <c r="B26" s="31">
        <f>+B6+B14-B24</f>
        <v>499538.30801687762</v>
      </c>
    </row>
    <row r="27" spans="1:7">
      <c r="B27" s="32"/>
    </row>
    <row r="28" spans="1:7">
      <c r="A28" s="22" t="s">
        <v>228</v>
      </c>
      <c r="B28" s="32"/>
    </row>
    <row r="29" spans="1:7">
      <c r="A29" s="23" t="s">
        <v>229</v>
      </c>
      <c r="B29" s="32">
        <f>+B26*0.25</f>
        <v>124884.57700421941</v>
      </c>
    </row>
    <row r="30" spans="1:7">
      <c r="A30" s="23" t="s">
        <v>230</v>
      </c>
      <c r="B30" s="32">
        <f>+-20000*0.35</f>
        <v>-7000</v>
      </c>
    </row>
    <row r="31" spans="1:7">
      <c r="A31" s="23" t="s">
        <v>226</v>
      </c>
      <c r="B31" s="32">
        <f>50000*0.2</f>
        <v>10000</v>
      </c>
    </row>
    <row r="32" spans="1:7">
      <c r="A32" s="23" t="s">
        <v>228</v>
      </c>
      <c r="B32" s="31">
        <f>+B31+B30+B29</f>
        <v>127884.57700421941</v>
      </c>
      <c r="E32" s="33"/>
    </row>
    <row r="35" spans="1:7">
      <c r="A35" s="22"/>
      <c r="B35" s="31"/>
    </row>
    <row r="36" spans="1:7">
      <c r="A36" s="26" t="s">
        <v>231</v>
      </c>
      <c r="B36" s="24"/>
      <c r="C36" s="24"/>
      <c r="D36" s="24"/>
      <c r="E36" s="24"/>
    </row>
    <row r="37" spans="1:7">
      <c r="A37" s="24"/>
      <c r="B37" s="34" t="s">
        <v>232</v>
      </c>
      <c r="C37" s="35" t="s">
        <v>107</v>
      </c>
      <c r="D37" s="35" t="s">
        <v>233</v>
      </c>
      <c r="E37" s="34" t="s">
        <v>234</v>
      </c>
    </row>
    <row r="38" spans="1:7">
      <c r="A38" s="27" t="s">
        <v>235</v>
      </c>
      <c r="B38" s="25">
        <v>7500</v>
      </c>
      <c r="C38" s="25">
        <f>+E38-B38</f>
        <v>-7500</v>
      </c>
      <c r="D38" s="25"/>
      <c r="E38" s="25">
        <v>0</v>
      </c>
    </row>
    <row r="39" spans="1:7">
      <c r="A39" s="36" t="s">
        <v>236</v>
      </c>
      <c r="B39" s="25">
        <f>+B77</f>
        <v>-2656.25</v>
      </c>
      <c r="C39" s="25">
        <f>+B80</f>
        <v>134.48101265822785</v>
      </c>
      <c r="D39" s="25">
        <f>+B97</f>
        <v>-5885.5</v>
      </c>
      <c r="E39" s="25">
        <f>+B96</f>
        <v>-8407.5</v>
      </c>
    </row>
    <row r="40" spans="1:7">
      <c r="A40" s="36" t="s">
        <v>237</v>
      </c>
      <c r="B40" s="25">
        <f>+B115</f>
        <v>-2000</v>
      </c>
      <c r="C40" s="25"/>
      <c r="D40" s="25">
        <f>+E40-B40</f>
        <v>-6000</v>
      </c>
      <c r="E40" s="25">
        <f>+B120</f>
        <v>-8000</v>
      </c>
    </row>
    <row r="41" spans="1:7">
      <c r="A41" s="36" t="s">
        <v>238</v>
      </c>
      <c r="B41" s="25">
        <f>+B128</f>
        <v>1500</v>
      </c>
      <c r="C41" s="25">
        <f>+B146</f>
        <v>-1500</v>
      </c>
      <c r="D41" s="25">
        <f>+B145</f>
        <v>-8330</v>
      </c>
      <c r="E41" s="25">
        <f>+B143</f>
        <v>-8330</v>
      </c>
    </row>
    <row r="42" spans="1:7">
      <c r="A42" s="36" t="s">
        <v>239</v>
      </c>
      <c r="B42" s="25">
        <f>+B156</f>
        <v>18750</v>
      </c>
      <c r="C42" s="25">
        <f>+E42-B42</f>
        <v>24650.000000000007</v>
      </c>
      <c r="D42" s="25"/>
      <c r="E42" s="25">
        <f>+B157</f>
        <v>43400.000000000007</v>
      </c>
    </row>
    <row r="43" spans="1:7">
      <c r="A43" s="26" t="s">
        <v>35</v>
      </c>
      <c r="B43" s="30">
        <f>+SUM(B38:B42)</f>
        <v>23093.75</v>
      </c>
      <c r="C43" s="30">
        <f>+SUM(C38:C42)</f>
        <v>15784.481012658234</v>
      </c>
      <c r="D43" s="30">
        <f>+SUM(D38:D42)</f>
        <v>-20215.5</v>
      </c>
      <c r="E43" s="30">
        <f>+SUM(E38:E42)</f>
        <v>18662.500000000007</v>
      </c>
      <c r="G43" s="30"/>
    </row>
    <row r="44" spans="1:7">
      <c r="A44" s="24"/>
      <c r="B44" s="24"/>
      <c r="C44" s="24"/>
      <c r="D44" s="24"/>
      <c r="E44" s="24"/>
    </row>
    <row r="45" spans="1:7">
      <c r="A45" s="22" t="s">
        <v>240</v>
      </c>
    </row>
    <row r="46" spans="1:7">
      <c r="A46" s="22" t="s">
        <v>241</v>
      </c>
      <c r="D46" s="32">
        <f>+B32</f>
        <v>127884.57700421941</v>
      </c>
    </row>
    <row r="47" spans="1:7">
      <c r="A47" s="22" t="s">
        <v>242</v>
      </c>
      <c r="D47" s="32"/>
    </row>
    <row r="48" spans="1:7">
      <c r="A48" s="23" t="s">
        <v>243</v>
      </c>
      <c r="D48" s="25">
        <f>0.25*(SUM(30000,B18,B20,B21,B22)-SUM(B8,B9,B10))</f>
        <v>-11134.577004219409</v>
      </c>
    </row>
    <row r="49" spans="1:10">
      <c r="A49" s="23" t="s">
        <v>244</v>
      </c>
      <c r="D49" s="25">
        <f>+D50-D48</f>
        <v>-4649.9040084388253</v>
      </c>
    </row>
    <row r="50" spans="1:10">
      <c r="A50" s="22" t="s">
        <v>245</v>
      </c>
      <c r="B50" s="22"/>
      <c r="C50" s="22"/>
      <c r="D50" s="30">
        <f>-C43</f>
        <v>-15784.481012658234</v>
      </c>
    </row>
    <row r="51" spans="1:10">
      <c r="A51" s="22" t="s">
        <v>246</v>
      </c>
      <c r="D51" s="30">
        <f>+D46+D50</f>
        <v>112100.09599156117</v>
      </c>
    </row>
    <row r="52" spans="1:10">
      <c r="A52" s="22"/>
      <c r="D52" s="31"/>
      <c r="J52" s="22"/>
    </row>
    <row r="53" spans="1:10">
      <c r="A53" s="22" t="s">
        <v>247</v>
      </c>
    </row>
    <row r="54" spans="1:10">
      <c r="A54" s="26" t="s">
        <v>248</v>
      </c>
      <c r="B54" s="30">
        <f>500000*0.25</f>
        <v>125000</v>
      </c>
      <c r="C54" s="24"/>
      <c r="D54" s="24"/>
      <c r="E54" s="24"/>
      <c r="F54" s="24"/>
      <c r="G54" s="28" t="s">
        <v>249</v>
      </c>
    </row>
    <row r="55" spans="1:10">
      <c r="A55" s="27" t="s">
        <v>250</v>
      </c>
      <c r="B55" s="37">
        <f>+-20000*0.25</f>
        <v>-5000</v>
      </c>
      <c r="C55" s="24"/>
      <c r="D55" s="24"/>
      <c r="E55" s="24"/>
      <c r="F55" s="24"/>
      <c r="G55" s="28" t="s">
        <v>251</v>
      </c>
    </row>
    <row r="56" spans="1:10">
      <c r="A56" s="27" t="s">
        <v>212</v>
      </c>
      <c r="B56" s="25">
        <f>5000*0.25</f>
        <v>1250</v>
      </c>
      <c r="C56" s="24"/>
      <c r="D56" s="24"/>
      <c r="E56" s="24"/>
      <c r="F56" s="24"/>
      <c r="G56" s="28" t="s">
        <v>252</v>
      </c>
    </row>
    <row r="57" spans="1:10">
      <c r="A57" s="27" t="s">
        <v>213</v>
      </c>
      <c r="B57" s="25">
        <v>2500</v>
      </c>
      <c r="C57" s="24"/>
      <c r="D57" s="24"/>
      <c r="E57" s="24"/>
      <c r="F57" s="24"/>
      <c r="G57" s="28" t="s">
        <v>253</v>
      </c>
    </row>
    <row r="58" spans="1:10">
      <c r="A58" s="27" t="s">
        <v>254</v>
      </c>
      <c r="B58" s="25">
        <f>+-20000*0.1</f>
        <v>-2000</v>
      </c>
      <c r="C58" s="24"/>
      <c r="D58" s="24"/>
      <c r="E58" s="24"/>
      <c r="F58" s="24"/>
      <c r="G58" s="28" t="s">
        <v>255</v>
      </c>
    </row>
    <row r="59" spans="1:10">
      <c r="A59" s="27" t="s">
        <v>256</v>
      </c>
      <c r="B59" s="25">
        <f>+-10000*0.25</f>
        <v>-2500</v>
      </c>
      <c r="C59" s="24"/>
      <c r="D59" s="24"/>
      <c r="E59" s="24"/>
      <c r="F59" s="24"/>
      <c r="G59" s="28" t="s">
        <v>253</v>
      </c>
    </row>
    <row r="60" spans="1:10">
      <c r="A60" s="27" t="s">
        <v>257</v>
      </c>
      <c r="B60" s="25">
        <f>50000*-0.05</f>
        <v>-2500</v>
      </c>
      <c r="C60" s="24"/>
      <c r="D60" s="24"/>
      <c r="E60" s="24"/>
      <c r="F60" s="24"/>
      <c r="G60" s="24" t="s">
        <v>258</v>
      </c>
    </row>
    <row r="61" spans="1:10">
      <c r="A61" s="27" t="s">
        <v>244</v>
      </c>
      <c r="B61" s="25">
        <f>+D49</f>
        <v>-4649.9040084388253</v>
      </c>
      <c r="C61" s="24"/>
      <c r="D61" s="24"/>
      <c r="E61" s="24"/>
      <c r="F61" s="24"/>
      <c r="G61" s="24"/>
    </row>
    <row r="62" spans="1:10">
      <c r="A62" s="26" t="s">
        <v>259</v>
      </c>
      <c r="B62" s="30">
        <f>SUM(B54:B61)</f>
        <v>112100.09599156117</v>
      </c>
      <c r="C62" s="24"/>
      <c r="D62" s="24"/>
      <c r="E62" s="24"/>
      <c r="F62" s="24"/>
      <c r="G62" s="24"/>
    </row>
    <row r="63" spans="1:10">
      <c r="A63" s="22"/>
      <c r="B63" s="32"/>
      <c r="C63" s="32"/>
    </row>
    <row r="64" spans="1:10">
      <c r="A64" s="24"/>
      <c r="B64" s="24"/>
      <c r="C64" s="24"/>
      <c r="D64" s="24"/>
      <c r="E64" s="24"/>
      <c r="F64" s="24"/>
      <c r="G64" s="24"/>
    </row>
    <row r="65" spans="1:11">
      <c r="A65" s="26" t="s">
        <v>260</v>
      </c>
      <c r="B65" s="24"/>
      <c r="C65" s="24"/>
      <c r="D65" s="24"/>
      <c r="E65" s="24"/>
      <c r="F65" s="24"/>
      <c r="G65" s="24"/>
    </row>
    <row r="66" spans="1:11">
      <c r="A66" s="38" t="s">
        <v>261</v>
      </c>
      <c r="B66" s="24"/>
      <c r="C66" s="24"/>
      <c r="D66" s="24"/>
      <c r="E66" s="24"/>
      <c r="F66" s="24"/>
      <c r="G66" s="24"/>
    </row>
    <row r="67" spans="1:11">
      <c r="A67" s="39" t="s">
        <v>216</v>
      </c>
      <c r="B67" s="24"/>
      <c r="C67" s="24"/>
      <c r="D67" s="24"/>
      <c r="E67" s="24"/>
      <c r="F67" s="24"/>
      <c r="G67" s="24"/>
      <c r="K67" s="22"/>
    </row>
    <row r="68" spans="1:11">
      <c r="A68" s="24" t="s">
        <v>262</v>
      </c>
      <c r="B68" s="25">
        <f>30000*0.25</f>
        <v>7500</v>
      </c>
      <c r="C68" s="24"/>
      <c r="D68" s="24"/>
      <c r="E68" s="24"/>
      <c r="F68" s="24"/>
      <c r="G68" s="24" t="s">
        <v>263</v>
      </c>
      <c r="K68" s="22"/>
    </row>
    <row r="69" spans="1:11">
      <c r="A69" s="24" t="s">
        <v>264</v>
      </c>
      <c r="B69" s="25">
        <v>0</v>
      </c>
      <c r="C69" s="24"/>
      <c r="D69" s="24"/>
      <c r="E69" s="24"/>
      <c r="F69" s="24"/>
      <c r="G69" s="24"/>
    </row>
    <row r="70" spans="1:11">
      <c r="A70" s="24" t="s">
        <v>265</v>
      </c>
      <c r="B70" s="25"/>
      <c r="C70" s="24"/>
      <c r="D70" s="24"/>
      <c r="E70" s="24"/>
      <c r="F70" s="24"/>
      <c r="G70" s="24"/>
    </row>
    <row r="71" spans="1:11">
      <c r="A71" s="24"/>
      <c r="B71" s="25"/>
      <c r="C71" s="24"/>
      <c r="D71" s="24"/>
      <c r="E71" s="24"/>
      <c r="F71" s="24"/>
      <c r="G71" s="24"/>
    </row>
    <row r="72" spans="1:11">
      <c r="A72" s="38" t="s">
        <v>266</v>
      </c>
    </row>
    <row r="73" spans="1:11">
      <c r="A73" s="40" t="s">
        <v>267</v>
      </c>
    </row>
    <row r="74" spans="1:11">
      <c r="A74" s="23" t="s">
        <v>268</v>
      </c>
      <c r="B74" s="25">
        <v>60000</v>
      </c>
      <c r="G74" s="33"/>
    </row>
    <row r="75" spans="1:11">
      <c r="A75" s="23" t="s">
        <v>269</v>
      </c>
      <c r="B75" s="25">
        <f>50000*19.75/20</f>
        <v>49375</v>
      </c>
      <c r="G75" s="33" t="s">
        <v>270</v>
      </c>
    </row>
    <row r="76" spans="1:11">
      <c r="A76" s="23" t="s">
        <v>271</v>
      </c>
      <c r="B76" s="25">
        <f>+B74-B75</f>
        <v>10625</v>
      </c>
    </row>
    <row r="77" spans="1:11">
      <c r="A77" s="23" t="s">
        <v>272</v>
      </c>
      <c r="B77" s="25">
        <f>+-10625*0.25</f>
        <v>-2656.25</v>
      </c>
      <c r="G77" s="33" t="s">
        <v>273</v>
      </c>
    </row>
    <row r="78" spans="1:11">
      <c r="J78" s="22"/>
    </row>
    <row r="79" spans="1:11">
      <c r="A79" s="41" t="s">
        <v>274</v>
      </c>
      <c r="C79" s="42"/>
      <c r="D79" s="42"/>
      <c r="E79" s="42"/>
      <c r="F79" s="42"/>
      <c r="G79" s="42"/>
      <c r="J79" s="22"/>
    </row>
    <row r="80" spans="1:11">
      <c r="A80" s="42" t="s">
        <v>275</v>
      </c>
      <c r="B80" s="25">
        <f>2656/19.75</f>
        <v>134.48101265822785</v>
      </c>
      <c r="C80" s="42"/>
      <c r="D80" s="42"/>
      <c r="E80" s="42"/>
      <c r="F80" s="42"/>
      <c r="G80" s="43" t="s">
        <v>276</v>
      </c>
      <c r="J80" s="22"/>
    </row>
    <row r="81" spans="1:10">
      <c r="A81" s="42" t="s">
        <v>277</v>
      </c>
      <c r="B81" s="25">
        <f>2656/19.75</f>
        <v>134.48101265822785</v>
      </c>
      <c r="C81" s="42"/>
      <c r="D81" s="42"/>
      <c r="E81" s="42"/>
      <c r="F81" s="42"/>
      <c r="G81" s="42"/>
      <c r="J81" s="22"/>
    </row>
    <row r="82" spans="1:10">
      <c r="A82" s="42"/>
      <c r="B82" s="44"/>
      <c r="C82" s="42"/>
      <c r="D82" s="42"/>
      <c r="E82" s="42"/>
      <c r="F82" s="42"/>
      <c r="G82" s="42"/>
      <c r="J82" s="22"/>
    </row>
    <row r="83" spans="1:10">
      <c r="A83" s="41" t="s">
        <v>278</v>
      </c>
      <c r="B83" s="45">
        <f>50000*18.75/20</f>
        <v>46875</v>
      </c>
      <c r="C83" s="42"/>
      <c r="D83" s="42"/>
      <c r="E83" s="42"/>
      <c r="F83" s="42"/>
      <c r="G83" s="43" t="s">
        <v>279</v>
      </c>
      <c r="J83" s="22"/>
    </row>
    <row r="84" spans="1:10">
      <c r="A84" s="41" t="s">
        <v>280</v>
      </c>
      <c r="B84" s="45">
        <f>60000*18.75/19.75</f>
        <v>56962.0253164557</v>
      </c>
      <c r="C84" s="42"/>
      <c r="D84" s="42"/>
      <c r="E84" s="42"/>
      <c r="F84" s="42"/>
      <c r="G84" s="43" t="s">
        <v>281</v>
      </c>
      <c r="J84" s="22"/>
    </row>
    <row r="85" spans="1:10">
      <c r="A85" s="41" t="s">
        <v>282</v>
      </c>
      <c r="B85" s="46">
        <f>+(B84-B83)*0.25</f>
        <v>2521.7563291139249</v>
      </c>
      <c r="C85" s="42"/>
      <c r="D85" s="42"/>
      <c r="E85" s="42"/>
      <c r="F85" s="42"/>
      <c r="G85" s="43" t="s">
        <v>283</v>
      </c>
      <c r="J85" s="22"/>
    </row>
    <row r="86" spans="1:10">
      <c r="A86" s="41" t="s">
        <v>284</v>
      </c>
      <c r="B86" s="45">
        <f>75000-B84</f>
        <v>18037.9746835443</v>
      </c>
      <c r="C86" s="42"/>
      <c r="D86" s="42"/>
      <c r="E86" s="42"/>
      <c r="F86" s="42"/>
      <c r="G86" s="41" t="s">
        <v>285</v>
      </c>
      <c r="J86" s="22"/>
    </row>
    <row r="87" spans="1:10">
      <c r="A87" s="41" t="s">
        <v>286</v>
      </c>
      <c r="B87" s="45">
        <v>75000</v>
      </c>
      <c r="C87" s="42"/>
      <c r="D87" s="42"/>
      <c r="E87" s="42"/>
      <c r="F87" s="42"/>
      <c r="G87" s="41"/>
    </row>
    <row r="88" spans="1:10">
      <c r="A88" s="41" t="s">
        <v>287</v>
      </c>
      <c r="B88" s="45">
        <f>+B87-B83</f>
        <v>28125</v>
      </c>
      <c r="C88" s="42"/>
      <c r="D88" s="42"/>
      <c r="E88" s="42"/>
      <c r="F88" s="42"/>
      <c r="G88" s="43" t="s">
        <v>288</v>
      </c>
    </row>
    <row r="89" spans="1:10">
      <c r="A89" s="42"/>
      <c r="B89" s="45"/>
      <c r="C89" s="42"/>
      <c r="D89" s="42"/>
      <c r="E89" s="42"/>
      <c r="F89" s="42"/>
      <c r="G89" s="47"/>
      <c r="J89" s="22"/>
    </row>
    <row r="90" spans="1:10">
      <c r="A90" s="41" t="s">
        <v>289</v>
      </c>
      <c r="B90" s="45"/>
      <c r="C90" s="42"/>
      <c r="D90" s="42"/>
      <c r="E90" s="42"/>
      <c r="F90" s="42"/>
      <c r="G90" s="47"/>
    </row>
    <row r="91" spans="1:10" s="24" customFormat="1">
      <c r="A91" s="48" t="s">
        <v>234</v>
      </c>
      <c r="B91" s="45">
        <f>+B88</f>
        <v>28125</v>
      </c>
      <c r="C91" s="42"/>
      <c r="D91" s="42"/>
      <c r="E91" s="42"/>
      <c r="F91" s="42"/>
      <c r="G91" s="42"/>
    </row>
    <row r="92" spans="1:10">
      <c r="A92" s="43" t="s">
        <v>290</v>
      </c>
      <c r="B92" s="45">
        <f>75000*17.75/18.75-46875*17.75/18.75</f>
        <v>26625</v>
      </c>
      <c r="C92" s="42"/>
      <c r="D92" s="42"/>
      <c r="E92" s="42"/>
      <c r="F92" s="42"/>
      <c r="G92" s="43" t="s">
        <v>291</v>
      </c>
    </row>
    <row r="93" spans="1:10">
      <c r="A93" s="41" t="s">
        <v>292</v>
      </c>
      <c r="B93" s="45"/>
      <c r="C93" s="42"/>
      <c r="D93" s="42"/>
      <c r="E93" s="42"/>
      <c r="F93" s="42"/>
      <c r="G93" s="43"/>
    </row>
    <row r="94" spans="1:10">
      <c r="A94" s="43"/>
      <c r="B94" s="45"/>
      <c r="C94" s="42"/>
      <c r="D94" s="42"/>
      <c r="E94" s="42"/>
      <c r="F94" s="42"/>
      <c r="G94" s="42"/>
    </row>
    <row r="95" spans="1:10">
      <c r="A95" s="41" t="s">
        <v>293</v>
      </c>
      <c r="B95" s="49"/>
      <c r="C95" s="42"/>
      <c r="D95" s="42"/>
      <c r="E95" s="42"/>
      <c r="F95" s="42"/>
      <c r="G95" s="47"/>
    </row>
    <row r="96" spans="1:10">
      <c r="A96" s="41" t="s">
        <v>294</v>
      </c>
      <c r="B96" s="46">
        <f>-(28125-26625)*0.28-26625*0.3</f>
        <v>-8407.5</v>
      </c>
      <c r="C96" s="42"/>
      <c r="D96" s="42"/>
      <c r="E96" s="42"/>
      <c r="F96" s="42"/>
      <c r="G96" s="41" t="s">
        <v>295</v>
      </c>
    </row>
    <row r="97" spans="1:11">
      <c r="A97" s="41" t="s">
        <v>296</v>
      </c>
      <c r="B97" s="46">
        <f>+B96+2656-134</f>
        <v>-5885.5</v>
      </c>
      <c r="C97" s="42"/>
      <c r="D97" s="42"/>
      <c r="E97" s="42"/>
      <c r="F97" s="42"/>
      <c r="G97" s="41" t="s">
        <v>297</v>
      </c>
    </row>
    <row r="99" spans="1:11">
      <c r="A99" s="40" t="s">
        <v>298</v>
      </c>
      <c r="B99" s="24"/>
      <c r="D99" s="24"/>
      <c r="E99" s="24"/>
      <c r="F99" s="24"/>
      <c r="G99" s="24"/>
      <c r="H99" s="24"/>
    </row>
    <row r="100" spans="1:11">
      <c r="A100" s="24" t="s">
        <v>299</v>
      </c>
      <c r="B100" s="24"/>
      <c r="C100" s="25">
        <f>B77</f>
        <v>-2656.25</v>
      </c>
      <c r="D100" s="24"/>
      <c r="E100" s="24"/>
      <c r="F100" s="24"/>
      <c r="G100" s="24"/>
      <c r="H100" s="24"/>
    </row>
    <row r="101" spans="1:11">
      <c r="A101" s="24" t="s">
        <v>300</v>
      </c>
      <c r="B101" s="24"/>
      <c r="C101" s="25">
        <f>-C100/19.75</f>
        <v>134.49367088607596</v>
      </c>
      <c r="D101" s="24"/>
      <c r="E101" s="50" t="s">
        <v>276</v>
      </c>
      <c r="F101" s="24"/>
      <c r="G101" s="24"/>
      <c r="H101" s="24"/>
    </row>
    <row r="102" spans="1:11" ht="13.5" thickBot="1">
      <c r="A102" s="24" t="s">
        <v>301</v>
      </c>
      <c r="B102" s="24"/>
      <c r="C102" s="25">
        <f>-(75000-60000*18.75/19.75)/18.75*(0.28+17.75*0.3)</f>
        <v>-5392.1518987341769</v>
      </c>
      <c r="D102" s="24"/>
      <c r="E102" s="24"/>
      <c r="F102" s="24"/>
      <c r="G102" s="24"/>
      <c r="H102" s="24" t="s">
        <v>302</v>
      </c>
    </row>
    <row r="103" spans="1:11">
      <c r="A103" s="27" t="s">
        <v>303</v>
      </c>
      <c r="B103" s="24"/>
      <c r="C103" s="51">
        <f>SUM(C100:C102)</f>
        <v>-7913.908227848101</v>
      </c>
      <c r="D103" s="24"/>
      <c r="E103" s="24"/>
      <c r="F103" s="24"/>
      <c r="G103" s="24"/>
      <c r="H103" s="24"/>
    </row>
    <row r="104" spans="1:11" ht="13.5" thickBot="1">
      <c r="A104" s="27" t="s">
        <v>304</v>
      </c>
      <c r="B104" s="24"/>
      <c r="C104" s="25">
        <f>C105-C103</f>
        <v>-493.59177215189902</v>
      </c>
      <c r="D104" s="24"/>
      <c r="E104" s="24"/>
      <c r="F104" s="24"/>
      <c r="G104" s="24"/>
      <c r="H104" s="24"/>
    </row>
    <row r="105" spans="1:11">
      <c r="A105" s="24"/>
      <c r="B105" s="24"/>
      <c r="C105" s="51">
        <f>B96</f>
        <v>-8407.5</v>
      </c>
      <c r="D105" s="24"/>
      <c r="E105" s="24"/>
      <c r="F105" s="24"/>
      <c r="G105" s="24"/>
      <c r="H105" s="24"/>
    </row>
    <row r="106" spans="1:11">
      <c r="A106" s="24"/>
      <c r="B106" s="24"/>
      <c r="C106" s="24"/>
      <c r="D106" s="24"/>
      <c r="E106" s="24"/>
      <c r="F106" s="24"/>
      <c r="G106" s="24"/>
      <c r="H106" s="24"/>
    </row>
    <row r="107" spans="1:11">
      <c r="A107" s="52" t="s">
        <v>35</v>
      </c>
      <c r="B107" s="27" t="s">
        <v>305</v>
      </c>
      <c r="C107" s="25">
        <f>C101</f>
        <v>134.49367088607596</v>
      </c>
      <c r="D107" s="24"/>
      <c r="E107" s="24"/>
      <c r="F107" s="24"/>
      <c r="G107" s="24"/>
      <c r="H107" s="24"/>
    </row>
    <row r="108" spans="1:11">
      <c r="A108" s="24"/>
      <c r="B108" s="27" t="s">
        <v>233</v>
      </c>
      <c r="C108" s="25">
        <f>C102+C104</f>
        <v>-5885.743670886076</v>
      </c>
      <c r="D108" s="24"/>
      <c r="E108" s="24"/>
      <c r="F108" s="24"/>
      <c r="G108" s="24"/>
      <c r="H108" s="24"/>
    </row>
    <row r="110" spans="1:11">
      <c r="A110" s="26" t="s">
        <v>306</v>
      </c>
      <c r="B110" s="53"/>
      <c r="C110" s="24"/>
      <c r="D110" s="24"/>
      <c r="E110" s="24"/>
      <c r="F110" s="24"/>
      <c r="G110" s="27"/>
    </row>
    <row r="111" spans="1:11">
      <c r="A111" s="40" t="s">
        <v>307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>
      <c r="A112" s="27" t="s">
        <v>308</v>
      </c>
      <c r="B112" s="46">
        <v>110000</v>
      </c>
      <c r="G112" s="33" t="s">
        <v>309</v>
      </c>
      <c r="H112" s="24"/>
      <c r="I112" s="27"/>
      <c r="J112" s="24"/>
      <c r="K112" s="24"/>
    </row>
    <row r="113" spans="1:11">
      <c r="A113" s="27" t="s">
        <v>310</v>
      </c>
      <c r="B113" s="46">
        <v>100000</v>
      </c>
      <c r="H113" s="24"/>
      <c r="I113" s="27"/>
      <c r="J113" s="24"/>
      <c r="K113" s="24"/>
    </row>
    <row r="114" spans="1:11">
      <c r="A114" s="27" t="s">
        <v>271</v>
      </c>
      <c r="B114" s="46">
        <f>+B112-B113</f>
        <v>10000</v>
      </c>
      <c r="H114" s="24"/>
      <c r="I114" s="27"/>
      <c r="J114" s="24"/>
      <c r="K114" s="24"/>
    </row>
    <row r="115" spans="1:11">
      <c r="A115" s="27" t="s">
        <v>311</v>
      </c>
      <c r="B115" s="46">
        <v>-2000</v>
      </c>
      <c r="G115" s="33" t="s">
        <v>312</v>
      </c>
      <c r="H115" s="24"/>
      <c r="I115" s="24"/>
      <c r="J115" s="24"/>
      <c r="K115" s="24"/>
    </row>
    <row r="116" spans="1:11">
      <c r="B116" s="54"/>
      <c r="G116" s="33"/>
      <c r="H116" s="24"/>
      <c r="I116" s="24"/>
      <c r="J116" s="27"/>
      <c r="K116" s="24"/>
    </row>
    <row r="117" spans="1:11">
      <c r="A117" s="27" t="s">
        <v>313</v>
      </c>
      <c r="B117" s="46">
        <f>100000*1.4</f>
        <v>140000</v>
      </c>
      <c r="G117" s="33" t="s">
        <v>314</v>
      </c>
      <c r="H117" s="24"/>
      <c r="I117" s="24"/>
      <c r="J117" s="27"/>
      <c r="K117" s="24"/>
    </row>
    <row r="118" spans="1:11">
      <c r="A118" s="27" t="s">
        <v>315</v>
      </c>
      <c r="B118" s="46">
        <v>100000</v>
      </c>
      <c r="H118" s="24"/>
      <c r="I118" s="24"/>
      <c r="J118" s="27"/>
      <c r="K118" s="24"/>
    </row>
    <row r="119" spans="1:11">
      <c r="A119" s="27" t="s">
        <v>271</v>
      </c>
      <c r="B119" s="46">
        <f>+B117-B118</f>
        <v>40000</v>
      </c>
      <c r="H119" s="24"/>
      <c r="I119" s="24"/>
      <c r="J119" s="24"/>
      <c r="K119" s="24"/>
    </row>
    <row r="120" spans="1:11">
      <c r="A120" s="27" t="s">
        <v>316</v>
      </c>
      <c r="B120" s="46">
        <f>+-40000*0.2</f>
        <v>-8000</v>
      </c>
      <c r="G120" s="33" t="s">
        <v>317</v>
      </c>
      <c r="H120" s="24"/>
      <c r="I120" s="24"/>
      <c r="J120" s="24"/>
      <c r="K120" s="24"/>
    </row>
    <row r="121" spans="1:11">
      <c r="A121" s="27"/>
      <c r="B121" s="46"/>
      <c r="H121" s="24"/>
      <c r="I121" s="24"/>
      <c r="J121" s="24"/>
      <c r="K121" s="24"/>
    </row>
    <row r="122" spans="1:11">
      <c r="A122" s="22" t="s">
        <v>318</v>
      </c>
      <c r="H122" s="24"/>
      <c r="I122" s="24"/>
      <c r="J122" s="24"/>
      <c r="K122" s="24"/>
    </row>
    <row r="123" spans="1:11">
      <c r="A123" s="55" t="s">
        <v>319</v>
      </c>
      <c r="B123" s="32"/>
      <c r="H123" s="24"/>
      <c r="I123" s="24"/>
      <c r="J123" s="24"/>
      <c r="K123" s="24"/>
    </row>
    <row r="124" spans="1:11">
      <c r="A124" s="41" t="s">
        <v>320</v>
      </c>
      <c r="B124" s="42"/>
      <c r="C124" s="42"/>
      <c r="D124" s="42"/>
      <c r="E124" s="42"/>
      <c r="F124" s="42"/>
      <c r="G124" s="42"/>
    </row>
    <row r="125" spans="1:11" s="24" customFormat="1">
      <c r="A125" s="41" t="s">
        <v>321</v>
      </c>
      <c r="B125" s="46">
        <v>30000</v>
      </c>
      <c r="C125" s="42"/>
      <c r="D125" s="42"/>
      <c r="E125" s="42"/>
      <c r="F125" s="42"/>
      <c r="G125" s="42"/>
    </row>
    <row r="126" spans="1:11">
      <c r="A126" s="41" t="s">
        <v>322</v>
      </c>
      <c r="B126" s="46">
        <f>40000*0.9</f>
        <v>36000</v>
      </c>
      <c r="C126" s="42"/>
      <c r="D126" s="42"/>
      <c r="E126" s="42"/>
      <c r="F126" s="42"/>
      <c r="G126" s="43" t="s">
        <v>323</v>
      </c>
    </row>
    <row r="127" spans="1:11">
      <c r="A127" s="41" t="s">
        <v>271</v>
      </c>
      <c r="B127" s="46">
        <f>+B125-B126</f>
        <v>-6000</v>
      </c>
      <c r="C127" s="42"/>
      <c r="D127" s="42"/>
      <c r="E127" s="42"/>
      <c r="F127" s="42"/>
      <c r="G127" s="42"/>
    </row>
    <row r="128" spans="1:11">
      <c r="A128" s="41" t="s">
        <v>324</v>
      </c>
      <c r="B128" s="46">
        <f>6000*0.25</f>
        <v>1500</v>
      </c>
      <c r="C128" s="42"/>
      <c r="D128" s="42"/>
      <c r="E128" s="42"/>
      <c r="F128" s="42"/>
      <c r="G128" s="41" t="s">
        <v>325</v>
      </c>
    </row>
    <row r="129" spans="1:7">
      <c r="A129" s="41" t="s">
        <v>326</v>
      </c>
      <c r="B129" s="46"/>
      <c r="C129" s="42"/>
      <c r="D129" s="42"/>
      <c r="E129" s="42"/>
      <c r="F129" s="42"/>
      <c r="G129" s="41"/>
    </row>
    <row r="130" spans="1:7">
      <c r="A130" s="56"/>
      <c r="B130" s="57"/>
      <c r="C130" s="42"/>
      <c r="D130" s="42"/>
      <c r="E130" s="42"/>
      <c r="F130" s="42"/>
      <c r="G130" s="42"/>
    </row>
    <row r="131" spans="1:7">
      <c r="A131" s="41" t="s">
        <v>327</v>
      </c>
      <c r="B131" s="57">
        <f>30000*0.888888888888889</f>
        <v>26666.666666666664</v>
      </c>
      <c r="C131" s="42"/>
      <c r="D131" s="42"/>
      <c r="E131" s="42"/>
      <c r="F131" s="42"/>
      <c r="G131" s="43" t="s">
        <v>328</v>
      </c>
    </row>
    <row r="132" spans="1:7">
      <c r="A132" s="41" t="s">
        <v>329</v>
      </c>
      <c r="B132" s="57">
        <f>40000*0.8</f>
        <v>32000</v>
      </c>
      <c r="C132" s="42"/>
      <c r="D132" s="42"/>
      <c r="E132" s="42"/>
      <c r="F132" s="42"/>
      <c r="G132" s="43" t="s">
        <v>330</v>
      </c>
    </row>
    <row r="133" spans="1:7">
      <c r="A133" s="41" t="s">
        <v>331</v>
      </c>
      <c r="B133" s="57">
        <f>+B132-B131</f>
        <v>5333.3333333333358</v>
      </c>
      <c r="C133" s="42"/>
      <c r="D133" s="42"/>
      <c r="E133" s="42"/>
      <c r="F133" s="42"/>
      <c r="G133" s="43"/>
    </row>
    <row r="134" spans="1:7">
      <c r="A134" s="41" t="s">
        <v>332</v>
      </c>
      <c r="B134" s="57">
        <v>60000</v>
      </c>
      <c r="C134" s="42"/>
      <c r="D134" s="42"/>
      <c r="E134" s="42"/>
      <c r="F134" s="42"/>
      <c r="G134" s="42"/>
    </row>
    <row r="135" spans="1:7">
      <c r="A135" s="41" t="s">
        <v>333</v>
      </c>
      <c r="B135" s="57">
        <f>+B134-B132</f>
        <v>28000</v>
      </c>
      <c r="C135" s="42"/>
      <c r="D135" s="42"/>
      <c r="E135" s="42"/>
      <c r="F135" s="42"/>
      <c r="G135" s="43" t="s">
        <v>334</v>
      </c>
    </row>
    <row r="136" spans="1:7">
      <c r="A136" s="41" t="s">
        <v>335</v>
      </c>
    </row>
    <row r="137" spans="1:7">
      <c r="A137" s="41" t="s">
        <v>336</v>
      </c>
    </row>
    <row r="138" spans="1:7">
      <c r="A138" s="41"/>
    </row>
    <row r="139" spans="1:7">
      <c r="A139" s="41" t="s">
        <v>337</v>
      </c>
      <c r="B139" s="45"/>
      <c r="C139" s="42"/>
      <c r="D139" s="42"/>
      <c r="E139" s="42"/>
      <c r="F139" s="42"/>
      <c r="G139" s="47"/>
    </row>
    <row r="140" spans="1:7">
      <c r="A140" s="48" t="s">
        <v>234</v>
      </c>
      <c r="B140" s="45">
        <f>+B135</f>
        <v>28000</v>
      </c>
      <c r="C140" s="42"/>
      <c r="D140" s="42"/>
      <c r="E140" s="42"/>
      <c r="F140" s="42"/>
      <c r="G140" s="43" t="s">
        <v>334</v>
      </c>
    </row>
    <row r="141" spans="1:7">
      <c r="A141" s="43" t="s">
        <v>290</v>
      </c>
      <c r="B141" s="45">
        <f>60000*0.875-40000*0.7</f>
        <v>24500</v>
      </c>
      <c r="C141" s="42"/>
      <c r="D141" s="42"/>
      <c r="E141" s="42"/>
      <c r="F141" s="42"/>
      <c r="G141" s="43" t="s">
        <v>338</v>
      </c>
    </row>
    <row r="142" spans="1:7">
      <c r="A142" s="41" t="s">
        <v>292</v>
      </c>
      <c r="B142" s="45"/>
      <c r="C142" s="42"/>
      <c r="D142" s="42"/>
      <c r="E142" s="42"/>
      <c r="F142" s="42"/>
      <c r="G142" s="43"/>
    </row>
    <row r="143" spans="1:7">
      <c r="A143" s="41" t="s">
        <v>339</v>
      </c>
      <c r="B143" s="45">
        <f>-(3500*0.28+24500*0.3)</f>
        <v>-8330</v>
      </c>
      <c r="C143" s="42"/>
      <c r="D143" s="42"/>
      <c r="E143" s="42"/>
      <c r="F143" s="42"/>
      <c r="G143" s="43" t="s">
        <v>340</v>
      </c>
    </row>
    <row r="145" spans="1:7">
      <c r="A145" s="41" t="s">
        <v>341</v>
      </c>
      <c r="B145" s="45">
        <f>+B143</f>
        <v>-8330</v>
      </c>
      <c r="C145" s="42"/>
      <c r="D145" s="42"/>
      <c r="E145" s="42"/>
      <c r="F145" s="42"/>
      <c r="G145" s="47"/>
    </row>
    <row r="146" spans="1:7">
      <c r="A146" s="41" t="s">
        <v>342</v>
      </c>
      <c r="B146" s="45">
        <f>+-1500</f>
        <v>-1500</v>
      </c>
      <c r="C146" s="42"/>
      <c r="D146" s="42"/>
      <c r="E146" s="42"/>
      <c r="F146" s="42"/>
      <c r="G146" s="43" t="s">
        <v>343</v>
      </c>
    </row>
    <row r="147" spans="1:7">
      <c r="A147" s="41" t="s">
        <v>344</v>
      </c>
      <c r="B147" s="45">
        <f>+B146+B145</f>
        <v>-9830</v>
      </c>
      <c r="C147" s="42"/>
      <c r="D147" s="42"/>
      <c r="E147" s="42"/>
      <c r="F147" s="42"/>
      <c r="G147" s="43"/>
    </row>
    <row r="148" spans="1:7">
      <c r="A148" s="56"/>
      <c r="B148" s="45"/>
      <c r="C148" s="42"/>
      <c r="D148" s="42"/>
      <c r="E148" s="42"/>
      <c r="F148" s="42"/>
      <c r="G148" s="43"/>
    </row>
    <row r="149" spans="1:7">
      <c r="A149" s="56" t="s">
        <v>345</v>
      </c>
      <c r="B149" s="42"/>
      <c r="C149" s="42"/>
      <c r="D149" s="42"/>
      <c r="E149" s="42"/>
      <c r="F149" s="42"/>
      <c r="G149" s="42"/>
    </row>
    <row r="150" spans="1:7">
      <c r="A150" s="58" t="s">
        <v>346</v>
      </c>
      <c r="B150" s="42"/>
      <c r="C150" s="42"/>
      <c r="D150" s="42"/>
      <c r="E150" s="42"/>
      <c r="F150" s="42"/>
      <c r="G150" s="42"/>
    </row>
    <row r="151" spans="1:7">
      <c r="A151" s="41" t="s">
        <v>347</v>
      </c>
      <c r="B151" s="45">
        <f>-1500000*0.05</f>
        <v>-75000</v>
      </c>
      <c r="C151" s="42"/>
      <c r="D151" s="42"/>
      <c r="E151" s="42"/>
      <c r="F151" s="42"/>
      <c r="G151" s="43" t="s">
        <v>348</v>
      </c>
    </row>
    <row r="152" spans="1:7">
      <c r="A152" s="41" t="s">
        <v>349</v>
      </c>
      <c r="B152" s="45">
        <f>400000*0.05</f>
        <v>20000</v>
      </c>
      <c r="C152" s="42"/>
      <c r="D152" s="42"/>
      <c r="E152" s="59"/>
      <c r="F152" s="59"/>
      <c r="G152" s="50"/>
    </row>
    <row r="153" spans="1:7">
      <c r="A153" s="41" t="s">
        <v>350</v>
      </c>
      <c r="B153" s="45">
        <f>-2000000*0.05</f>
        <v>-100000</v>
      </c>
      <c r="C153" s="42"/>
      <c r="D153" s="42"/>
      <c r="E153" s="59"/>
      <c r="F153" s="59"/>
      <c r="G153" s="60" t="s">
        <v>351</v>
      </c>
    </row>
    <row r="154" spans="1:7">
      <c r="A154" s="41" t="s">
        <v>352</v>
      </c>
      <c r="B154" s="45">
        <f>+B151+B152+B153</f>
        <v>-155000</v>
      </c>
      <c r="C154" s="42"/>
      <c r="D154" s="42"/>
      <c r="E154" s="42"/>
      <c r="F154" s="42"/>
      <c r="G154" s="47"/>
    </row>
    <row r="155" spans="1:7">
      <c r="A155" s="41" t="s">
        <v>353</v>
      </c>
      <c r="B155" s="45">
        <f>+B154-B151</f>
        <v>-80000</v>
      </c>
      <c r="C155" s="42"/>
      <c r="D155" s="42"/>
      <c r="E155" s="42"/>
      <c r="F155" s="42"/>
      <c r="G155" s="42"/>
    </row>
    <row r="156" spans="1:7">
      <c r="A156" s="41" t="s">
        <v>354</v>
      </c>
      <c r="B156" s="46">
        <f>75000*0.25</f>
        <v>18750</v>
      </c>
      <c r="C156" s="41"/>
      <c r="D156" s="41"/>
      <c r="E156" s="41"/>
      <c r="F156" s="41"/>
      <c r="G156" s="43" t="s">
        <v>355</v>
      </c>
    </row>
    <row r="157" spans="1:7">
      <c r="A157" s="41" t="s">
        <v>356</v>
      </c>
      <c r="B157" s="46">
        <f>155000*0.28</f>
        <v>43400.000000000007</v>
      </c>
      <c r="C157" s="41"/>
      <c r="D157" s="41"/>
      <c r="E157" s="41"/>
      <c r="F157" s="41"/>
      <c r="G157" s="43" t="s">
        <v>357</v>
      </c>
    </row>
    <row r="158" spans="1:7">
      <c r="A158" s="41" t="s">
        <v>358</v>
      </c>
      <c r="B158" s="45"/>
      <c r="C158" s="42"/>
      <c r="D158" s="42"/>
      <c r="E158" s="42"/>
      <c r="F158" s="42"/>
      <c r="G158" s="42"/>
    </row>
  </sheetData>
  <pageMargins left="0.75" right="0.75" top="1" bottom="1" header="0.5" footer="0.5"/>
  <pageSetup paperSize="9" scale="79" orientation="portrait" r:id="rId1"/>
  <headerFooter alignWithMargins="0"/>
  <rowBreaks count="1" manualBreakCount="1">
    <brk id="6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rightToLeft="1" workbookViewId="0">
      <selection activeCell="H26" sqref="H26"/>
    </sheetView>
  </sheetViews>
  <sheetFormatPr defaultRowHeight="12.75"/>
  <cols>
    <col min="1" max="1" width="9" style="86"/>
    <col min="2" max="2" width="10.5" style="86" bestFit="1" customWidth="1"/>
    <col min="3" max="3" width="12.375" style="86" bestFit="1" customWidth="1"/>
    <col min="4" max="4" width="9" style="86"/>
    <col min="5" max="5" width="10.875" style="86" bestFit="1" customWidth="1"/>
    <col min="6" max="6" width="9" style="86"/>
    <col min="7" max="7" width="9.875" style="86" bestFit="1" customWidth="1"/>
    <col min="8" max="16384" width="9" style="86"/>
  </cols>
  <sheetData>
    <row r="1" spans="1:6">
      <c r="A1" s="86" t="s">
        <v>516</v>
      </c>
    </row>
    <row r="3" spans="1:6">
      <c r="A3" s="87" t="s">
        <v>359</v>
      </c>
    </row>
    <row r="4" spans="1:6">
      <c r="A4" s="88" t="s">
        <v>517</v>
      </c>
      <c r="C4" s="115">
        <f>B77</f>
        <v>1507650</v>
      </c>
    </row>
    <row r="5" spans="1:6">
      <c r="A5" s="86" t="s">
        <v>518</v>
      </c>
      <c r="C5" s="116">
        <f>33%*(300000*6/12-10000*6/12)</f>
        <v>47850</v>
      </c>
      <c r="F5" s="86" t="s">
        <v>519</v>
      </c>
    </row>
    <row r="6" spans="1:6">
      <c r="A6" s="86" t="s">
        <v>520</v>
      </c>
      <c r="C6" s="117">
        <f>33%*C100</f>
        <v>501.6</v>
      </c>
    </row>
    <row r="7" spans="1:6">
      <c r="A7" s="86" t="s">
        <v>521</v>
      </c>
      <c r="C7" s="116">
        <f>-(B82+B83)*(6*0.5/21)</f>
        <v>-537.42857142857144</v>
      </c>
    </row>
    <row r="8" spans="1:6">
      <c r="A8" s="86" t="s">
        <v>522</v>
      </c>
      <c r="C8" s="116">
        <f>-(B84+B85)*0.5/5</f>
        <v>-501.6</v>
      </c>
    </row>
    <row r="9" spans="1:6">
      <c r="A9" s="86" t="s">
        <v>523</v>
      </c>
      <c r="C9" s="117">
        <f>(F112-B86)*0.76</f>
        <v>50160</v>
      </c>
    </row>
    <row r="10" spans="1:6">
      <c r="A10" s="86" t="s">
        <v>524</v>
      </c>
      <c r="C10" s="118">
        <f>-(B82+B83+C7)</f>
        <v>-3224.5714285714284</v>
      </c>
    </row>
    <row r="11" spans="1:6">
      <c r="A11" s="93" t="s">
        <v>525</v>
      </c>
      <c r="C11" s="119">
        <f>SUM(C4:C10)</f>
        <v>1601898</v>
      </c>
    </row>
    <row r="12" spans="1:6">
      <c r="A12" s="94" t="s">
        <v>526</v>
      </c>
      <c r="C12" s="117">
        <f>C134</f>
        <v>709500</v>
      </c>
    </row>
    <row r="13" spans="1:6">
      <c r="A13" s="86" t="s">
        <v>527</v>
      </c>
      <c r="C13" s="120">
        <f>40%*(300000*6/12-5%*200000*6/12)</f>
        <v>58000</v>
      </c>
      <c r="F13" s="86" t="s">
        <v>528</v>
      </c>
    </row>
    <row r="14" spans="1:6">
      <c r="A14" s="86" t="s">
        <v>529</v>
      </c>
      <c r="C14" s="117">
        <f>40%*C164</f>
        <v>699.2</v>
      </c>
    </row>
    <row r="15" spans="1:6">
      <c r="A15" s="86" t="s">
        <v>530</v>
      </c>
      <c r="C15" s="117">
        <f>-(B151+B152)</f>
        <v>-1064.0000000000002</v>
      </c>
    </row>
    <row r="16" spans="1:6">
      <c r="A16" s="86" t="s">
        <v>531</v>
      </c>
      <c r="C16" s="116">
        <f>-(C30+B153)*0.76*0.5/4.5</f>
        <v>-623.96</v>
      </c>
      <c r="F16" s="86" t="s">
        <v>532</v>
      </c>
    </row>
    <row r="17" spans="1:6">
      <c r="A17" s="86" t="s">
        <v>533</v>
      </c>
      <c r="C17" s="116">
        <f>-(C32+B155)*0.76</f>
        <v>21971.599999999999</v>
      </c>
      <c r="F17" s="86" t="s">
        <v>534</v>
      </c>
    </row>
    <row r="18" spans="1:6">
      <c r="A18" s="86" t="s">
        <v>535</v>
      </c>
      <c r="C18" s="117">
        <f>C191</f>
        <v>-2189.5238095238078</v>
      </c>
    </row>
    <row r="19" spans="1:6">
      <c r="A19" s="86" t="s">
        <v>536</v>
      </c>
      <c r="C19" s="118">
        <f>-40%*B194</f>
        <v>-40000</v>
      </c>
    </row>
    <row r="20" spans="1:6">
      <c r="A20" s="93" t="s">
        <v>537</v>
      </c>
      <c r="C20" s="119">
        <f>SUM(C11:C19)</f>
        <v>2348191.3161904765</v>
      </c>
    </row>
    <row r="21" spans="1:6">
      <c r="A21" s="94" t="s">
        <v>538</v>
      </c>
      <c r="C21" s="121">
        <f>-C20*0.05/0.4</f>
        <v>-293523.91452380957</v>
      </c>
    </row>
    <row r="22" spans="1:6">
      <c r="A22" s="94" t="s">
        <v>539</v>
      </c>
      <c r="C22" s="115">
        <f>SUM(C20:C21)</f>
        <v>2054667.4016666668</v>
      </c>
    </row>
    <row r="23" spans="1:6">
      <c r="C23" s="117"/>
    </row>
    <row r="24" spans="1:6">
      <c r="C24" s="117"/>
    </row>
    <row r="25" spans="1:6">
      <c r="A25" s="87" t="s">
        <v>540</v>
      </c>
      <c r="C25" s="117"/>
    </row>
    <row r="26" spans="1:6">
      <c r="A26" s="93" t="s">
        <v>541</v>
      </c>
      <c r="C26" s="117"/>
    </row>
    <row r="27" spans="1:6">
      <c r="A27" s="86" t="s">
        <v>542</v>
      </c>
      <c r="C27" s="117">
        <f>33%*B128</f>
        <v>1094627.1600000001</v>
      </c>
    </row>
    <row r="28" spans="1:6">
      <c r="A28" s="86" t="s">
        <v>177</v>
      </c>
      <c r="C28" s="116">
        <f>33%*(87000*4.5/5-99000)*0.76</f>
        <v>-5191.5600000000004</v>
      </c>
      <c r="F28" s="86" t="s">
        <v>543</v>
      </c>
    </row>
    <row r="29" spans="1:6">
      <c r="A29" s="86" t="s">
        <v>544</v>
      </c>
      <c r="C29" s="122" t="s">
        <v>545</v>
      </c>
    </row>
    <row r="30" spans="1:6">
      <c r="A30" s="86" t="s">
        <v>546</v>
      </c>
      <c r="C30" s="116">
        <f>6600*4.5/5</f>
        <v>5940</v>
      </c>
      <c r="E30" s="86" t="s">
        <v>547</v>
      </c>
    </row>
    <row r="31" spans="1:6">
      <c r="A31" s="86" t="s">
        <v>548</v>
      </c>
      <c r="C31" s="116">
        <f>-C30*24%</f>
        <v>-1425.6</v>
      </c>
    </row>
    <row r="32" spans="1:6">
      <c r="A32" s="86" t="s">
        <v>549</v>
      </c>
      <c r="C32" s="117">
        <f>F112</f>
        <v>-20790</v>
      </c>
    </row>
    <row r="33" spans="1:6">
      <c r="A33" s="86" t="s">
        <v>548</v>
      </c>
      <c r="C33" s="116">
        <f>-C32*24%</f>
        <v>4989.5999999999995</v>
      </c>
    </row>
    <row r="34" spans="1:6">
      <c r="A34" s="86" t="s">
        <v>34</v>
      </c>
      <c r="C34" s="118">
        <f>B88</f>
        <v>523748.4</v>
      </c>
    </row>
    <row r="35" spans="1:6">
      <c r="C35" s="115">
        <f>SUM(C27:C34)</f>
        <v>1601898</v>
      </c>
    </row>
    <row r="36" spans="1:6">
      <c r="C36" s="115"/>
    </row>
    <row r="37" spans="1:6">
      <c r="A37" s="93" t="s">
        <v>550</v>
      </c>
      <c r="C37" s="115"/>
    </row>
    <row r="38" spans="1:6">
      <c r="A38" s="86" t="s">
        <v>551</v>
      </c>
      <c r="C38" s="123">
        <f>40%*B201</f>
        <v>1788347.2000000002</v>
      </c>
    </row>
    <row r="39" spans="1:6">
      <c r="A39" s="86" t="s">
        <v>552</v>
      </c>
      <c r="C39" s="123">
        <f>-40%*(99600-87000*4/5)*0.76</f>
        <v>-9120</v>
      </c>
      <c r="F39" s="86" t="s">
        <v>553</v>
      </c>
    </row>
    <row r="40" spans="1:6">
      <c r="A40" s="86" t="s">
        <v>544</v>
      </c>
      <c r="C40" s="123">
        <f>C190</f>
        <v>-2880.9523809523789</v>
      </c>
    </row>
    <row r="41" spans="1:6">
      <c r="A41" s="86" t="s">
        <v>548</v>
      </c>
      <c r="C41" s="123">
        <f>-C40*24%</f>
        <v>691.42857142857088</v>
      </c>
    </row>
    <row r="42" spans="1:6">
      <c r="A42" s="86" t="s">
        <v>546</v>
      </c>
      <c r="C42" s="123">
        <f>(C30+B153)*4/4.5</f>
        <v>6568</v>
      </c>
    </row>
    <row r="43" spans="1:6">
      <c r="A43" s="86" t="s">
        <v>548</v>
      </c>
      <c r="C43" s="123">
        <f>-C42*24%</f>
        <v>-1576.32</v>
      </c>
    </row>
    <row r="44" spans="1:6">
      <c r="A44" s="86" t="s">
        <v>549</v>
      </c>
      <c r="C44" s="123">
        <v>0</v>
      </c>
    </row>
    <row r="45" spans="1:6">
      <c r="A45" s="86" t="s">
        <v>34</v>
      </c>
      <c r="C45" s="124">
        <f>C34+B157</f>
        <v>566161.96000000008</v>
      </c>
    </row>
    <row r="46" spans="1:6">
      <c r="C46" s="115">
        <f>SUM(C38:C45)</f>
        <v>2348191.3161904765</v>
      </c>
    </row>
    <row r="47" spans="1:6">
      <c r="C47" s="115"/>
    </row>
    <row r="48" spans="1:6">
      <c r="A48" s="87" t="s">
        <v>554</v>
      </c>
      <c r="C48" s="115"/>
    </row>
    <row r="49" spans="1:8">
      <c r="A49" s="86" t="s">
        <v>555</v>
      </c>
      <c r="B49" s="90">
        <f>22500*17</f>
        <v>382500</v>
      </c>
      <c r="C49" s="115"/>
      <c r="D49" s="86" t="s">
        <v>556</v>
      </c>
    </row>
    <row r="50" spans="1:8">
      <c r="A50" s="86" t="s">
        <v>557</v>
      </c>
      <c r="B50" s="91">
        <f>-C21</f>
        <v>293523.91452380957</v>
      </c>
      <c r="C50" s="117"/>
    </row>
    <row r="51" spans="1:8">
      <c r="A51" s="86" t="s">
        <v>558</v>
      </c>
      <c r="B51" s="91">
        <f>B49-B50</f>
        <v>88976.085476190434</v>
      </c>
      <c r="C51" s="117"/>
    </row>
    <row r="52" spans="1:8">
      <c r="C52" s="117"/>
    </row>
    <row r="53" spans="1:8">
      <c r="A53" s="86" t="s">
        <v>559</v>
      </c>
      <c r="C53" s="117"/>
    </row>
    <row r="54" spans="1:8">
      <c r="A54" s="94" t="s">
        <v>560</v>
      </c>
      <c r="C54" s="117"/>
      <c r="E54" s="90">
        <f>33%*350000</f>
        <v>115500</v>
      </c>
      <c r="F54" s="86" t="s">
        <v>561</v>
      </c>
    </row>
    <row r="55" spans="1:8">
      <c r="A55" s="86" t="s">
        <v>562</v>
      </c>
      <c r="C55" s="117"/>
    </row>
    <row r="56" spans="1:8">
      <c r="A56" s="86" t="s">
        <v>563</v>
      </c>
      <c r="C56" s="116">
        <f>200000*8</f>
        <v>1600000</v>
      </c>
      <c r="E56" s="86" t="s">
        <v>564</v>
      </c>
    </row>
    <row r="57" spans="1:8">
      <c r="A57" s="86" t="s">
        <v>565</v>
      </c>
      <c r="C57" s="125">
        <v>-85000</v>
      </c>
    </row>
    <row r="58" spans="1:8">
      <c r="A58" s="86" t="s">
        <v>566</v>
      </c>
      <c r="C58" s="117">
        <f>SUM(C56:C57)</f>
        <v>1515000</v>
      </c>
    </row>
    <row r="59" spans="1:8">
      <c r="C59" s="117"/>
    </row>
    <row r="60" spans="1:8">
      <c r="A60" s="86" t="s">
        <v>567</v>
      </c>
      <c r="C60" s="117"/>
    </row>
    <row r="61" spans="1:8">
      <c r="A61" s="86" t="s">
        <v>568</v>
      </c>
      <c r="C61" s="117"/>
    </row>
    <row r="62" spans="1:8">
      <c r="A62" s="86" t="s">
        <v>569</v>
      </c>
      <c r="C62" s="117"/>
      <c r="F62" s="90">
        <f>49%*15000</f>
        <v>7350</v>
      </c>
      <c r="H62" s="86" t="s">
        <v>570</v>
      </c>
    </row>
    <row r="63" spans="1:8">
      <c r="A63" s="86" t="s">
        <v>571</v>
      </c>
      <c r="C63" s="117"/>
    </row>
    <row r="64" spans="1:8">
      <c r="A64" s="86" t="s">
        <v>572</v>
      </c>
      <c r="C64" s="117"/>
      <c r="D64" s="86" t="s">
        <v>573</v>
      </c>
      <c r="E64" s="98">
        <f>E65-E66</f>
        <v>1507650</v>
      </c>
    </row>
    <row r="65" spans="1:5">
      <c r="C65" s="117"/>
      <c r="D65" s="86" t="s">
        <v>574</v>
      </c>
      <c r="E65" s="91">
        <f>C58</f>
        <v>1515000</v>
      </c>
    </row>
    <row r="66" spans="1:5">
      <c r="C66" s="117"/>
      <c r="D66" s="86" t="s">
        <v>575</v>
      </c>
      <c r="E66" s="91">
        <f>F62</f>
        <v>7350</v>
      </c>
    </row>
    <row r="67" spans="1:5">
      <c r="A67" s="99" t="s">
        <v>576</v>
      </c>
      <c r="C67" s="117"/>
    </row>
    <row r="68" spans="1:5">
      <c r="A68" s="86" t="s">
        <v>577</v>
      </c>
      <c r="C68" s="117"/>
    </row>
    <row r="69" spans="1:5">
      <c r="A69" s="86" t="s">
        <v>578</v>
      </c>
      <c r="C69" s="117">
        <v>3400000</v>
      </c>
    </row>
    <row r="70" spans="1:5">
      <c r="A70" s="86" t="s">
        <v>579</v>
      </c>
      <c r="C70" s="125">
        <f>-(107000-87000)*0.76</f>
        <v>-15200</v>
      </c>
      <c r="E70" s="86" t="s">
        <v>580</v>
      </c>
    </row>
    <row r="71" spans="1:5">
      <c r="A71" s="86" t="s">
        <v>581</v>
      </c>
      <c r="C71" s="126">
        <f>SUM(C69:C70)</f>
        <v>3384800</v>
      </c>
    </row>
    <row r="72" spans="1:5">
      <c r="C72" s="117"/>
    </row>
    <row r="73" spans="1:5">
      <c r="A73" s="86" t="s">
        <v>582</v>
      </c>
      <c r="C73" s="126">
        <f>C75-C74</f>
        <v>3154800</v>
      </c>
    </row>
    <row r="74" spans="1:5">
      <c r="A74" s="86" t="s">
        <v>583</v>
      </c>
      <c r="C74" s="125">
        <f>200000+5%*200000*3</f>
        <v>230000</v>
      </c>
      <c r="E74" s="86" t="s">
        <v>584</v>
      </c>
    </row>
    <row r="75" spans="1:5">
      <c r="C75" s="117">
        <f>C71</f>
        <v>3384800</v>
      </c>
    </row>
    <row r="77" spans="1:5">
      <c r="A77" s="86" t="s">
        <v>48</v>
      </c>
      <c r="B77" s="123">
        <f>E64</f>
        <v>1507650</v>
      </c>
    </row>
    <row r="78" spans="1:5">
      <c r="A78" s="86" t="s">
        <v>585</v>
      </c>
      <c r="B78" s="123">
        <f>-33%*C73</f>
        <v>-1041084</v>
      </c>
      <c r="D78" s="86" t="s">
        <v>586</v>
      </c>
    </row>
    <row r="79" spans="1:5">
      <c r="A79" s="86" t="s">
        <v>587</v>
      </c>
      <c r="B79" s="117">
        <f>SUM(B77:B78)</f>
        <v>466566</v>
      </c>
    </row>
    <row r="80" spans="1:5">
      <c r="B80" s="123"/>
    </row>
    <row r="81" spans="1:6">
      <c r="A81" s="99" t="s">
        <v>588</v>
      </c>
      <c r="B81" s="123"/>
    </row>
    <row r="82" spans="1:6">
      <c r="A82" s="86" t="s">
        <v>589</v>
      </c>
      <c r="B82" s="123">
        <f>33%*(400000-660000*21/36)</f>
        <v>4950</v>
      </c>
      <c r="E82" s="86" t="s">
        <v>590</v>
      </c>
    </row>
    <row r="83" spans="1:6">
      <c r="A83" s="86" t="s">
        <v>548</v>
      </c>
      <c r="B83" s="123">
        <f>-B82*24%</f>
        <v>-1188</v>
      </c>
    </row>
    <row r="84" spans="1:6">
      <c r="A84" s="86" t="s">
        <v>546</v>
      </c>
      <c r="B84" s="123">
        <f>33%*(107000-87000)</f>
        <v>6600</v>
      </c>
      <c r="E84" s="86" t="s">
        <v>591</v>
      </c>
    </row>
    <row r="85" spans="1:6">
      <c r="A85" s="86" t="s">
        <v>548</v>
      </c>
      <c r="B85" s="123">
        <f>-B84*24%</f>
        <v>-1584</v>
      </c>
    </row>
    <row r="86" spans="1:6">
      <c r="A86" s="86" t="s">
        <v>592</v>
      </c>
      <c r="B86" s="123">
        <f>33%*(-C91-0)</f>
        <v>-86790</v>
      </c>
      <c r="E86" s="86" t="s">
        <v>593</v>
      </c>
    </row>
    <row r="87" spans="1:6">
      <c r="A87" s="86" t="s">
        <v>548</v>
      </c>
      <c r="B87" s="123">
        <f>-B86*24%</f>
        <v>20829.599999999999</v>
      </c>
    </row>
    <row r="88" spans="1:6">
      <c r="A88" s="86" t="s">
        <v>34</v>
      </c>
      <c r="B88" s="123">
        <f>B89-B82-B83-B84-B85-B86-B87</f>
        <v>523748.4</v>
      </c>
    </row>
    <row r="89" spans="1:6">
      <c r="B89" s="117">
        <f>B79</f>
        <v>466566</v>
      </c>
    </row>
    <row r="91" spans="1:6">
      <c r="A91" s="94" t="s">
        <v>594</v>
      </c>
      <c r="C91" s="90">
        <f>51%*0+40%*500000+9%*700000</f>
        <v>263000</v>
      </c>
      <c r="F91" s="86" t="s">
        <v>595</v>
      </c>
    </row>
    <row r="92" spans="1:6">
      <c r="A92" s="86" t="s">
        <v>596</v>
      </c>
    </row>
    <row r="93" spans="1:6">
      <c r="A93" s="86" t="s">
        <v>597</v>
      </c>
    </row>
    <row r="95" spans="1:6">
      <c r="A95" s="100" t="s">
        <v>598</v>
      </c>
    </row>
    <row r="96" spans="1:6">
      <c r="A96" s="86" t="s">
        <v>599</v>
      </c>
    </row>
    <row r="97" spans="1:8">
      <c r="A97" s="86" t="s">
        <v>600</v>
      </c>
      <c r="C97" s="90">
        <f>107000*0.5/5</f>
        <v>10700</v>
      </c>
      <c r="E97" s="86" t="s">
        <v>601</v>
      </c>
    </row>
    <row r="98" spans="1:8">
      <c r="A98" s="86" t="s">
        <v>602</v>
      </c>
      <c r="C98" s="97">
        <f>-87000*0.5/5</f>
        <v>-8700</v>
      </c>
      <c r="E98" s="86" t="s">
        <v>603</v>
      </c>
    </row>
    <row r="99" spans="1:8">
      <c r="C99" s="96">
        <f>SUM(C97:C98)</f>
        <v>2000</v>
      </c>
    </row>
    <row r="100" spans="1:8">
      <c r="A100" s="86" t="s">
        <v>604</v>
      </c>
      <c r="C100" s="89">
        <f>C99*0.76</f>
        <v>1520</v>
      </c>
    </row>
    <row r="102" spans="1:8">
      <c r="A102" s="86" t="s">
        <v>605</v>
      </c>
    </row>
    <row r="103" spans="1:8">
      <c r="A103" s="86" t="s">
        <v>606</v>
      </c>
      <c r="B103" s="90">
        <v>99000</v>
      </c>
    </row>
    <row r="104" spans="1:8">
      <c r="A104" s="86" t="s">
        <v>434</v>
      </c>
      <c r="B104" s="97">
        <f>107000*4.5/5</f>
        <v>96300</v>
      </c>
      <c r="D104" s="86" t="s">
        <v>607</v>
      </c>
    </row>
    <row r="105" spans="1:8">
      <c r="A105" s="86" t="s">
        <v>182</v>
      </c>
      <c r="B105" s="91">
        <f>B103-B104</f>
        <v>2700</v>
      </c>
    </row>
    <row r="106" spans="1:8">
      <c r="A106" s="86" t="s">
        <v>608</v>
      </c>
      <c r="B106" s="91">
        <f>B105*0.76</f>
        <v>2052</v>
      </c>
    </row>
    <row r="108" spans="1:8">
      <c r="A108" s="101" t="s">
        <v>609</v>
      </c>
    </row>
    <row r="109" spans="1:8">
      <c r="A109" s="94" t="s">
        <v>610</v>
      </c>
    </row>
    <row r="110" spans="1:8">
      <c r="A110" s="86" t="s">
        <v>611</v>
      </c>
      <c r="C110" s="102">
        <f>C91</f>
        <v>263000</v>
      </c>
    </row>
    <row r="111" spans="1:8">
      <c r="A111" s="95" t="s">
        <v>612</v>
      </c>
      <c r="C111" s="90">
        <v>200000</v>
      </c>
    </row>
    <row r="112" spans="1:8">
      <c r="A112" s="86" t="s">
        <v>613</v>
      </c>
      <c r="F112" s="91">
        <f>33%*(-C110+C111)</f>
        <v>-20790</v>
      </c>
      <c r="H112" s="86" t="s">
        <v>614</v>
      </c>
    </row>
    <row r="114" spans="1:5">
      <c r="A114" s="101" t="s">
        <v>615</v>
      </c>
    </row>
    <row r="115" spans="1:5">
      <c r="A115" s="94" t="s">
        <v>616</v>
      </c>
    </row>
    <row r="116" spans="1:5">
      <c r="A116" s="103" t="s">
        <v>617</v>
      </c>
    </row>
    <row r="117" spans="1:5">
      <c r="A117" s="86" t="s">
        <v>618</v>
      </c>
      <c r="C117" s="90">
        <f>660000*18/36</f>
        <v>330000</v>
      </c>
      <c r="E117" s="86" t="s">
        <v>619</v>
      </c>
    </row>
    <row r="118" spans="1:5">
      <c r="A118" s="86" t="s">
        <v>620</v>
      </c>
      <c r="C118" s="104">
        <v>200000</v>
      </c>
    </row>
    <row r="120" spans="1:5">
      <c r="A120" s="103" t="s">
        <v>621</v>
      </c>
    </row>
    <row r="121" spans="1:5">
      <c r="A121" s="86" t="s">
        <v>618</v>
      </c>
      <c r="C121" s="90">
        <f>400000*18/21</f>
        <v>342857.14285714284</v>
      </c>
      <c r="E121" s="86" t="s">
        <v>622</v>
      </c>
    </row>
    <row r="122" spans="1:5">
      <c r="A122" s="86" t="s">
        <v>620</v>
      </c>
      <c r="C122" s="105">
        <f>C118</f>
        <v>200000</v>
      </c>
    </row>
    <row r="124" spans="1:5">
      <c r="A124" s="103" t="s">
        <v>623</v>
      </c>
      <c r="C124" s="91">
        <f>C118-C122</f>
        <v>0</v>
      </c>
    </row>
    <row r="126" spans="1:5">
      <c r="A126" s="106" t="s">
        <v>624</v>
      </c>
    </row>
    <row r="127" spans="1:5">
      <c r="A127" s="86" t="s">
        <v>625</v>
      </c>
      <c r="B127" s="90">
        <f>200000+5%*200000*3.5</f>
        <v>235000</v>
      </c>
      <c r="E127" s="86" t="s">
        <v>626</v>
      </c>
    </row>
    <row r="128" spans="1:5">
      <c r="A128" s="86" t="s">
        <v>627</v>
      </c>
      <c r="B128" s="107">
        <f>B129-B127</f>
        <v>3317052</v>
      </c>
    </row>
    <row r="129" spans="1:7">
      <c r="A129" s="86" t="s">
        <v>628</v>
      </c>
      <c r="B129" s="91">
        <f>3400000+300000*6/12+B106</f>
        <v>3552052</v>
      </c>
      <c r="E129" s="86" t="s">
        <v>629</v>
      </c>
    </row>
    <row r="131" spans="1:7">
      <c r="A131" s="101" t="s">
        <v>630</v>
      </c>
    </row>
    <row r="132" spans="1:7">
      <c r="A132" s="86" t="s">
        <v>631</v>
      </c>
      <c r="D132" s="108">
        <f>(115500+64500)/(350000+100000)</f>
        <v>0.4</v>
      </c>
      <c r="G132" s="86" t="s">
        <v>632</v>
      </c>
    </row>
    <row r="133" spans="1:7">
      <c r="A133" s="87" t="s">
        <v>633</v>
      </c>
    </row>
    <row r="134" spans="1:7">
      <c r="A134" s="86" t="s">
        <v>634</v>
      </c>
      <c r="C134" s="90">
        <f>64500*11</f>
        <v>709500</v>
      </c>
      <c r="E134" s="86" t="s">
        <v>635</v>
      </c>
    </row>
    <row r="135" spans="1:7">
      <c r="A135" s="86" t="s">
        <v>636</v>
      </c>
    </row>
    <row r="136" spans="1:7">
      <c r="A136" s="86" t="s">
        <v>637</v>
      </c>
      <c r="B136" s="91">
        <f>C27+C28</f>
        <v>1089435.6000000001</v>
      </c>
    </row>
    <row r="137" spans="1:7">
      <c r="A137" s="86" t="s">
        <v>638</v>
      </c>
      <c r="B137" s="92">
        <f>40%*C146</f>
        <v>1760528</v>
      </c>
      <c r="C137" s="109"/>
      <c r="E137" s="86" t="s">
        <v>639</v>
      </c>
    </row>
    <row r="138" spans="1:7">
      <c r="A138" s="86" t="s">
        <v>640</v>
      </c>
      <c r="C138" s="110">
        <f>B137-B136</f>
        <v>671092.39999999991</v>
      </c>
    </row>
    <row r="139" spans="1:7">
      <c r="A139" s="86" t="s">
        <v>641</v>
      </c>
      <c r="C139" s="89">
        <f>C134-C138</f>
        <v>38407.600000000093</v>
      </c>
    </row>
    <row r="141" spans="1:7">
      <c r="A141" s="87" t="s">
        <v>642</v>
      </c>
    </row>
    <row r="142" spans="1:7">
      <c r="A142" s="86" t="s">
        <v>643</v>
      </c>
      <c r="C142" s="91">
        <f>B129+100000*11</f>
        <v>4652052</v>
      </c>
      <c r="E142" s="86" t="s">
        <v>644</v>
      </c>
    </row>
    <row r="143" spans="1:7">
      <c r="A143" s="86" t="s">
        <v>177</v>
      </c>
      <c r="C143" s="97">
        <f>(87000*4.5/5-99000)*0.76</f>
        <v>-15732</v>
      </c>
      <c r="E143" s="86" t="s">
        <v>645</v>
      </c>
    </row>
    <row r="144" spans="1:7">
      <c r="C144" s="89">
        <f>SUM(C142:C143)</f>
        <v>4636320</v>
      </c>
    </row>
    <row r="146" spans="1:4">
      <c r="A146" s="86" t="s">
        <v>582</v>
      </c>
      <c r="C146" s="89">
        <f>C148-C147</f>
        <v>4401320</v>
      </c>
    </row>
    <row r="147" spans="1:4">
      <c r="A147" s="86" t="s">
        <v>583</v>
      </c>
      <c r="C147" s="92">
        <f>B127</f>
        <v>235000</v>
      </c>
    </row>
    <row r="148" spans="1:4">
      <c r="A148" s="86" t="s">
        <v>646</v>
      </c>
      <c r="C148" s="91">
        <f>C144</f>
        <v>4636320</v>
      </c>
    </row>
    <row r="150" spans="1:4">
      <c r="A150" s="87" t="s">
        <v>647</v>
      </c>
    </row>
    <row r="151" spans="1:4">
      <c r="A151" s="86" t="s">
        <v>544</v>
      </c>
      <c r="B151" s="123">
        <f>7%*(220000-200000)</f>
        <v>1400.0000000000002</v>
      </c>
      <c r="D151" s="86" t="s">
        <v>648</v>
      </c>
    </row>
    <row r="152" spans="1:4">
      <c r="A152" s="86" t="s">
        <v>548</v>
      </c>
      <c r="B152" s="123">
        <f>-B151*24%</f>
        <v>-336.00000000000006</v>
      </c>
    </row>
    <row r="153" spans="1:4">
      <c r="A153" s="86" t="s">
        <v>546</v>
      </c>
      <c r="B153" s="123">
        <f>7%*(99000-87000*4.5/5)</f>
        <v>1449.0000000000002</v>
      </c>
      <c r="D153" s="86" t="s">
        <v>649</v>
      </c>
    </row>
    <row r="154" spans="1:4">
      <c r="A154" s="86" t="s">
        <v>548</v>
      </c>
      <c r="B154" s="123">
        <f>-B153*24%</f>
        <v>-347.76000000000005</v>
      </c>
    </row>
    <row r="155" spans="1:4">
      <c r="A155" s="86" t="s">
        <v>549</v>
      </c>
      <c r="B155" s="123">
        <f>7%*(-316000+200000)</f>
        <v>-8120.0000000000009</v>
      </c>
      <c r="D155" s="86" t="s">
        <v>650</v>
      </c>
    </row>
    <row r="156" spans="1:4">
      <c r="A156" s="86" t="s">
        <v>548</v>
      </c>
      <c r="B156" s="123">
        <f>-B155*24%</f>
        <v>1948.8000000000002</v>
      </c>
    </row>
    <row r="157" spans="1:4">
      <c r="A157" s="86" t="s">
        <v>34</v>
      </c>
      <c r="B157" s="123">
        <f>B158-B151-B152-B153-B154-B155-B156</f>
        <v>42413.560000000092</v>
      </c>
    </row>
    <row r="158" spans="1:4">
      <c r="B158" s="91">
        <f>C139</f>
        <v>38407.600000000093</v>
      </c>
    </row>
    <row r="160" spans="1:4">
      <c r="A160" s="101" t="s">
        <v>651</v>
      </c>
    </row>
    <row r="161" spans="1:5">
      <c r="A161" s="86" t="s">
        <v>652</v>
      </c>
      <c r="C161" s="90">
        <f>99000*0.5/4.5</f>
        <v>11000</v>
      </c>
      <c r="E161" s="86" t="s">
        <v>653</v>
      </c>
    </row>
    <row r="162" spans="1:5">
      <c r="A162" s="86" t="s">
        <v>654</v>
      </c>
      <c r="C162" s="97">
        <f>-87000*0.5/5</f>
        <v>-8700</v>
      </c>
    </row>
    <row r="163" spans="1:5">
      <c r="C163" s="91">
        <f>SUM(C161:C162)</f>
        <v>2300</v>
      </c>
    </row>
    <row r="164" spans="1:5">
      <c r="A164" s="86" t="s">
        <v>608</v>
      </c>
      <c r="C164" s="89">
        <f>C163*0.76</f>
        <v>1748</v>
      </c>
    </row>
    <row r="166" spans="1:5">
      <c r="A166" s="111" t="s">
        <v>655</v>
      </c>
    </row>
    <row r="167" spans="1:5">
      <c r="A167" s="86" t="s">
        <v>434</v>
      </c>
      <c r="B167" s="90">
        <f>99000*4/4.5</f>
        <v>88000</v>
      </c>
      <c r="C167" s="86" t="s">
        <v>656</v>
      </c>
    </row>
    <row r="168" spans="1:5">
      <c r="A168" s="86" t="s">
        <v>606</v>
      </c>
      <c r="B168" s="97">
        <v>99600</v>
      </c>
    </row>
    <row r="169" spans="1:5">
      <c r="A169" s="86" t="s">
        <v>657</v>
      </c>
      <c r="B169" s="91">
        <f>B168-B167</f>
        <v>11600</v>
      </c>
    </row>
    <row r="170" spans="1:5">
      <c r="A170" s="86" t="s">
        <v>608</v>
      </c>
      <c r="B170" s="89">
        <f>B169*0.76</f>
        <v>8816</v>
      </c>
    </row>
    <row r="172" spans="1:5">
      <c r="A172" s="101" t="s">
        <v>658</v>
      </c>
    </row>
    <row r="173" spans="1:5">
      <c r="A173" s="86" t="s">
        <v>659</v>
      </c>
    </row>
    <row r="175" spans="1:5">
      <c r="A175" s="112" t="s">
        <v>660</v>
      </c>
    </row>
    <row r="176" spans="1:5">
      <c r="A176" s="86" t="s">
        <v>661</v>
      </c>
    </row>
    <row r="177" spans="1:7">
      <c r="A177" s="86" t="s">
        <v>662</v>
      </c>
    </row>
    <row r="179" spans="1:7">
      <c r="A179" s="93" t="s">
        <v>663</v>
      </c>
    </row>
    <row r="180" spans="1:7">
      <c r="A180" s="87" t="s">
        <v>664</v>
      </c>
    </row>
    <row r="181" spans="1:7">
      <c r="A181" s="86" t="s">
        <v>665</v>
      </c>
      <c r="C181" s="104">
        <f>660000*15/36</f>
        <v>275000</v>
      </c>
      <c r="E181" s="86" t="s">
        <v>666</v>
      </c>
    </row>
    <row r="182" spans="1:7">
      <c r="A182" s="86" t="s">
        <v>620</v>
      </c>
      <c r="C182" s="113">
        <v>280000</v>
      </c>
    </row>
    <row r="184" spans="1:7">
      <c r="A184" s="87" t="s">
        <v>667</v>
      </c>
      <c r="C184" s="87" t="s">
        <v>668</v>
      </c>
      <c r="G184" s="87"/>
    </row>
    <row r="185" spans="1:7">
      <c r="A185" s="86" t="s">
        <v>90</v>
      </c>
      <c r="C185" s="104">
        <f>0.33/0.4*400000*15/21+0.07/0.4*220000*15/18</f>
        <v>267797.61904761905</v>
      </c>
      <c r="G185" s="86" t="s">
        <v>669</v>
      </c>
    </row>
    <row r="186" spans="1:7">
      <c r="A186" s="86" t="s">
        <v>91</v>
      </c>
      <c r="C186" s="114">
        <f>C182</f>
        <v>280000</v>
      </c>
      <c r="G186" s="91"/>
    </row>
    <row r="188" spans="1:7">
      <c r="C188" s="87"/>
      <c r="G188" s="87"/>
    </row>
    <row r="189" spans="1:7">
      <c r="A189" s="111" t="s">
        <v>670</v>
      </c>
      <c r="C189" s="91"/>
      <c r="G189" s="90"/>
    </row>
    <row r="190" spans="1:7">
      <c r="A190" s="86" t="s">
        <v>671</v>
      </c>
      <c r="C190" s="91">
        <f>40%*(C185-C181)</f>
        <v>-2880.9523809523789</v>
      </c>
    </row>
    <row r="191" spans="1:7">
      <c r="A191" s="86" t="s">
        <v>672</v>
      </c>
      <c r="C191" s="102">
        <f>C190*0.76</f>
        <v>-2189.5238095238078</v>
      </c>
    </row>
    <row r="193" spans="1:4">
      <c r="A193" s="93" t="s">
        <v>673</v>
      </c>
    </row>
    <row r="194" spans="1:4">
      <c r="A194" s="86" t="s">
        <v>674</v>
      </c>
      <c r="B194" s="89">
        <f>B196-B195</f>
        <v>100000</v>
      </c>
    </row>
    <row r="195" spans="1:4">
      <c r="A195" s="86" t="s">
        <v>675</v>
      </c>
      <c r="B195" s="97">
        <f>4*200000*5%</f>
        <v>40000</v>
      </c>
      <c r="D195" s="86" t="s">
        <v>676</v>
      </c>
    </row>
    <row r="196" spans="1:4">
      <c r="B196" s="90">
        <v>140000</v>
      </c>
    </row>
    <row r="198" spans="1:4">
      <c r="A198" s="93" t="s">
        <v>677</v>
      </c>
    </row>
    <row r="199" spans="1:4">
      <c r="A199" s="86" t="s">
        <v>678</v>
      </c>
      <c r="B199" s="91">
        <f>C142+150000+B170-B196</f>
        <v>4670868</v>
      </c>
    </row>
    <row r="201" spans="1:4">
      <c r="A201" s="86" t="s">
        <v>679</v>
      </c>
      <c r="B201" s="89">
        <f>B203-B202</f>
        <v>4470868</v>
      </c>
    </row>
    <row r="202" spans="1:4">
      <c r="A202" s="86" t="s">
        <v>680</v>
      </c>
      <c r="B202" s="97">
        <v>200000</v>
      </c>
    </row>
    <row r="203" spans="1:4">
      <c r="B203" s="91">
        <f>B199</f>
        <v>4670868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49"/>
  <sheetViews>
    <sheetView rightToLeft="1" topLeftCell="A246" workbookViewId="0">
      <selection activeCell="H234" sqref="H234"/>
    </sheetView>
  </sheetViews>
  <sheetFormatPr defaultRowHeight="14.25"/>
  <cols>
    <col min="1" max="1" width="4" style="5" customWidth="1"/>
    <col min="2" max="2" width="9" customWidth="1"/>
    <col min="3" max="3" width="14.375" customWidth="1"/>
    <col min="8" max="8" width="21.5" customWidth="1"/>
  </cols>
  <sheetData>
    <row r="3" spans="2:16" ht="15">
      <c r="B3" s="61" t="s">
        <v>359</v>
      </c>
      <c r="C3" s="62"/>
      <c r="D3" s="62"/>
    </row>
    <row r="5" spans="2:16" ht="15">
      <c r="B5" t="s">
        <v>2</v>
      </c>
      <c r="D5" s="63">
        <f>D43</f>
        <v>306000</v>
      </c>
      <c r="I5" s="64" t="s">
        <v>360</v>
      </c>
      <c r="O5" s="2">
        <f>600000+90000*9/12+20000</f>
        <v>687500</v>
      </c>
    </row>
    <row r="6" spans="2:16">
      <c r="B6" t="s">
        <v>361</v>
      </c>
      <c r="D6" s="65">
        <f>90000*9/12*0.35</f>
        <v>23625</v>
      </c>
      <c r="G6" t="s">
        <v>362</v>
      </c>
      <c r="I6" t="s">
        <v>363</v>
      </c>
      <c r="K6" s="66">
        <f>0.35*(600000+90000*9/12+20000)</f>
        <v>240624.99999999997</v>
      </c>
      <c r="P6" t="s">
        <v>364</v>
      </c>
    </row>
    <row r="7" spans="2:16">
      <c r="B7" t="s">
        <v>365</v>
      </c>
      <c r="D7" s="65">
        <f>-D54</f>
        <v>-7000</v>
      </c>
      <c r="I7" t="s">
        <v>366</v>
      </c>
    </row>
    <row r="8" spans="2:16">
      <c r="B8" t="s">
        <v>367</v>
      </c>
      <c r="D8" s="65">
        <f>-(36750/6)*9/12</f>
        <v>-4593.75</v>
      </c>
      <c r="G8" t="s">
        <v>368</v>
      </c>
      <c r="I8" t="s">
        <v>369</v>
      </c>
      <c r="K8" s="66">
        <f>D77</f>
        <v>25156.25</v>
      </c>
      <c r="P8" t="s">
        <v>370</v>
      </c>
    </row>
    <row r="9" spans="2:16">
      <c r="B9" t="s">
        <v>371</v>
      </c>
      <c r="D9" s="65">
        <f>-D79</f>
        <v>-7000</v>
      </c>
      <c r="I9" t="s">
        <v>34</v>
      </c>
      <c r="K9" s="67">
        <f>D56</f>
        <v>59250</v>
      </c>
    </row>
    <row r="10" spans="2:16">
      <c r="B10" t="s">
        <v>372</v>
      </c>
      <c r="D10" s="65">
        <f>D88</f>
        <v>3500</v>
      </c>
      <c r="I10" t="s">
        <v>373</v>
      </c>
      <c r="K10" s="68">
        <f>(50000-60000)*0.35</f>
        <v>-3500</v>
      </c>
    </row>
    <row r="11" spans="2:16">
      <c r="B11" t="s">
        <v>374</v>
      </c>
      <c r="D11" s="69">
        <f>(170000-150000)*0.35</f>
        <v>7000</v>
      </c>
      <c r="G11" t="s">
        <v>375</v>
      </c>
      <c r="K11" s="66">
        <f>SUM(K6:K10)</f>
        <v>321531.25</v>
      </c>
    </row>
    <row r="12" spans="2:16">
      <c r="B12" t="s">
        <v>376</v>
      </c>
      <c r="D12" s="65">
        <f>SUM(D5:D11)</f>
        <v>321531.25</v>
      </c>
      <c r="I12" t="s">
        <v>377</v>
      </c>
      <c r="K12" s="67">
        <f>K11-D12</f>
        <v>0</v>
      </c>
      <c r="L12" t="s">
        <v>378</v>
      </c>
    </row>
    <row r="13" spans="2:16">
      <c r="B13" t="s">
        <v>379</v>
      </c>
      <c r="D13" s="69">
        <f>-D12*10/35</f>
        <v>-91866.071428571435</v>
      </c>
      <c r="G13" t="s">
        <v>380</v>
      </c>
    </row>
    <row r="14" spans="2:16" ht="15">
      <c r="B14" t="s">
        <v>381</v>
      </c>
      <c r="D14" s="65">
        <f>D12+D13</f>
        <v>229665.17857142858</v>
      </c>
      <c r="I14" s="64" t="s">
        <v>382</v>
      </c>
      <c r="O14" s="2">
        <f>687500+90000*3/12-40000</f>
        <v>670000</v>
      </c>
    </row>
    <row r="15" spans="2:16">
      <c r="B15" t="s">
        <v>383</v>
      </c>
      <c r="D15" s="65">
        <f>90000*3/12*0.25</f>
        <v>5625</v>
      </c>
      <c r="G15" t="s">
        <v>384</v>
      </c>
      <c r="I15" t="s">
        <v>363</v>
      </c>
      <c r="K15" s="66">
        <f>0.25*(687500+90000*3/12-40000)</f>
        <v>167500</v>
      </c>
      <c r="P15" t="s">
        <v>385</v>
      </c>
    </row>
    <row r="16" spans="2:16">
      <c r="B16" t="s">
        <v>367</v>
      </c>
      <c r="D16" s="65">
        <f>-(25156/5.25*0.25)*25/35</f>
        <v>-855.64625850340144</v>
      </c>
      <c r="G16" t="s">
        <v>386</v>
      </c>
      <c r="I16" t="s">
        <v>366</v>
      </c>
      <c r="K16" s="5"/>
    </row>
    <row r="17" spans="2:16">
      <c r="B17" t="s">
        <v>387</v>
      </c>
      <c r="D17" s="65">
        <f>-D117</f>
        <v>-2737.5714285714275</v>
      </c>
      <c r="I17" t="s">
        <v>369</v>
      </c>
      <c r="K17" s="66">
        <f>D115</f>
        <v>14375</v>
      </c>
      <c r="P17" t="s">
        <v>370</v>
      </c>
    </row>
    <row r="18" spans="2:16">
      <c r="B18" t="s">
        <v>388</v>
      </c>
      <c r="D18" s="65">
        <f>D126</f>
        <v>-1250</v>
      </c>
      <c r="I18" t="s">
        <v>34</v>
      </c>
      <c r="K18" s="66">
        <f>59250*25/35</f>
        <v>42321.428571428572</v>
      </c>
      <c r="P18" t="s">
        <v>389</v>
      </c>
    </row>
    <row r="19" spans="2:16">
      <c r="B19" t="s">
        <v>685</v>
      </c>
      <c r="D19" s="65">
        <v>-5000</v>
      </c>
      <c r="G19" t="s">
        <v>693</v>
      </c>
      <c r="H19" t="s">
        <v>687</v>
      </c>
      <c r="K19" s="66"/>
    </row>
    <row r="20" spans="2:16">
      <c r="B20" t="s">
        <v>390</v>
      </c>
      <c r="D20" s="69">
        <f>(D11-D100)*-1</f>
        <v>-5000</v>
      </c>
      <c r="G20" t="s">
        <v>686</v>
      </c>
      <c r="I20" t="s">
        <v>373</v>
      </c>
      <c r="K20" s="68">
        <f>15000*-0.25</f>
        <v>-3750</v>
      </c>
      <c r="P20" t="s">
        <v>391</v>
      </c>
    </row>
    <row r="21" spans="2:16">
      <c r="B21" t="s">
        <v>392</v>
      </c>
      <c r="D21" s="63">
        <f>SUM(D14:D20)</f>
        <v>220446.96088435376</v>
      </c>
      <c r="K21" s="70">
        <f>SUM(K15:K20)</f>
        <v>220446.42857142858</v>
      </c>
    </row>
    <row r="22" spans="2:16">
      <c r="B22" t="s">
        <v>393</v>
      </c>
      <c r="D22" s="65">
        <f>90000*6/12*0.25</f>
        <v>11250</v>
      </c>
      <c r="G22" t="s">
        <v>394</v>
      </c>
      <c r="I22" t="s">
        <v>377</v>
      </c>
      <c r="K22" s="66">
        <f>K21-D21</f>
        <v>-0.53231292517739348</v>
      </c>
      <c r="L22" t="s">
        <v>378</v>
      </c>
    </row>
    <row r="23" spans="2:16">
      <c r="B23" t="s">
        <v>367</v>
      </c>
      <c r="D23" s="65">
        <f>-14375/5*0.5</f>
        <v>-1437.5</v>
      </c>
      <c r="G23" t="s">
        <v>395</v>
      </c>
    </row>
    <row r="24" spans="2:16" ht="15">
      <c r="B24" t="s">
        <v>396</v>
      </c>
      <c r="D24" s="65">
        <f>-D151</f>
        <v>1750.5</v>
      </c>
      <c r="I24" s="64" t="s">
        <v>397</v>
      </c>
      <c r="O24" s="2">
        <f>670000+90000*6/12+20000</f>
        <v>735000</v>
      </c>
    </row>
    <row r="25" spans="2:16">
      <c r="B25" t="s">
        <v>398</v>
      </c>
      <c r="D25" s="65">
        <f>D160</f>
        <v>750</v>
      </c>
      <c r="I25" t="s">
        <v>363</v>
      </c>
      <c r="K25" s="66">
        <f>0.25*(670000+90000*6/12+20000)</f>
        <v>183750</v>
      </c>
      <c r="P25" t="s">
        <v>399</v>
      </c>
    </row>
    <row r="26" spans="2:16">
      <c r="B26" t="s">
        <v>374</v>
      </c>
      <c r="D26" s="69">
        <f>(150000-130000)*0.25</f>
        <v>5000</v>
      </c>
      <c r="G26" t="s">
        <v>400</v>
      </c>
      <c r="I26" t="s">
        <v>401</v>
      </c>
      <c r="K26" s="5"/>
    </row>
    <row r="27" spans="2:16">
      <c r="B27" t="s">
        <v>402</v>
      </c>
      <c r="D27" s="65">
        <f>SUM(D21:D26)</f>
        <v>237759.96088435376</v>
      </c>
      <c r="I27" t="s">
        <v>369</v>
      </c>
      <c r="K27" s="66">
        <f>D149</f>
        <v>14687.5</v>
      </c>
      <c r="P27" t="s">
        <v>370</v>
      </c>
    </row>
    <row r="28" spans="2:16">
      <c r="B28" t="s">
        <v>403</v>
      </c>
      <c r="D28" s="65">
        <f>850000*5500/10000</f>
        <v>467500</v>
      </c>
      <c r="G28" t="s">
        <v>404</v>
      </c>
      <c r="I28" t="s">
        <v>34</v>
      </c>
      <c r="K28" s="66">
        <f>59250*25/35</f>
        <v>42321.428571428572</v>
      </c>
      <c r="P28" t="s">
        <v>389</v>
      </c>
    </row>
    <row r="29" spans="2:16">
      <c r="B29" t="s">
        <v>405</v>
      </c>
      <c r="D29" s="65">
        <f>90000*6/12*0.4</f>
        <v>18000</v>
      </c>
      <c r="G29" t="s">
        <v>406</v>
      </c>
      <c r="I29" t="s">
        <v>373</v>
      </c>
      <c r="K29" s="68">
        <f>12000*-0.25</f>
        <v>-3000</v>
      </c>
      <c r="P29" t="s">
        <v>407</v>
      </c>
    </row>
    <row r="30" spans="2:16">
      <c r="B30" t="s">
        <v>365</v>
      </c>
      <c r="D30" s="65">
        <f>-D179</f>
        <v>-1800</v>
      </c>
      <c r="K30" s="71">
        <f>SUM(K25:K29)</f>
        <v>237758.92857142858</v>
      </c>
    </row>
    <row r="31" spans="2:16">
      <c r="B31" t="s">
        <v>367</v>
      </c>
      <c r="D31" s="65">
        <f>-(14688+8813)*0.5/4.5</f>
        <v>-2611.2222222222222</v>
      </c>
      <c r="G31" t="s">
        <v>408</v>
      </c>
      <c r="I31" t="s">
        <v>377</v>
      </c>
      <c r="K31" s="72">
        <f>D27-K30</f>
        <v>1.0323129251773935</v>
      </c>
      <c r="L31" t="s">
        <v>378</v>
      </c>
    </row>
    <row r="32" spans="2:16">
      <c r="B32" t="s">
        <v>409</v>
      </c>
      <c r="D32" s="65">
        <f>-D208</f>
        <v>-8889.7777777777774</v>
      </c>
    </row>
    <row r="33" spans="1:18">
      <c r="B33" t="s">
        <v>685</v>
      </c>
      <c r="D33" s="65">
        <v>-7000</v>
      </c>
      <c r="G33" t="s">
        <v>692</v>
      </c>
    </row>
    <row r="34" spans="1:18">
      <c r="B34" t="s">
        <v>374</v>
      </c>
      <c r="D34" s="73">
        <v>-5000</v>
      </c>
      <c r="F34" t="s">
        <v>691</v>
      </c>
      <c r="I34" s="64" t="s">
        <v>410</v>
      </c>
    </row>
    <row r="35" spans="1:18" ht="15" thickBot="1">
      <c r="B35" t="s">
        <v>22</v>
      </c>
      <c r="D35" s="74">
        <f>-50000*0.4</f>
        <v>-20000</v>
      </c>
      <c r="G35" t="s">
        <v>411</v>
      </c>
      <c r="I35" t="s">
        <v>363</v>
      </c>
      <c r="K35" s="66">
        <f>0.4*(735000+90000*6/12+850000-50000-12000-30000)</f>
        <v>615200</v>
      </c>
      <c r="R35" t="s">
        <v>412</v>
      </c>
    </row>
    <row r="36" spans="1:18">
      <c r="B36" t="s">
        <v>413</v>
      </c>
      <c r="D36" s="63">
        <f>SUM(D27:D35)</f>
        <v>677958.96088435373</v>
      </c>
      <c r="I36" t="s">
        <v>401</v>
      </c>
      <c r="K36" s="5"/>
    </row>
    <row r="37" spans="1:18">
      <c r="D37" s="66"/>
      <c r="I37" t="s">
        <v>369</v>
      </c>
      <c r="K37" s="66">
        <f>D206</f>
        <v>12000</v>
      </c>
    </row>
    <row r="38" spans="1:18">
      <c r="I38" t="s">
        <v>34</v>
      </c>
      <c r="K38" s="66">
        <f>42321+8438</f>
        <v>50759</v>
      </c>
      <c r="P38" t="s">
        <v>414</v>
      </c>
    </row>
    <row r="39" spans="1:18">
      <c r="K39" s="71">
        <f>SUM(K35:K38)</f>
        <v>677959</v>
      </c>
    </row>
    <row r="40" spans="1:18">
      <c r="D40" s="66"/>
      <c r="I40" t="s">
        <v>377</v>
      </c>
      <c r="K40" s="72">
        <f>K39-D36</f>
        <v>3.9115646271966398E-2</v>
      </c>
      <c r="L40" t="s">
        <v>378</v>
      </c>
    </row>
    <row r="41" spans="1:18">
      <c r="A41" s="75" t="s">
        <v>415</v>
      </c>
      <c r="B41" s="64" t="s">
        <v>416</v>
      </c>
      <c r="D41" s="66"/>
    </row>
    <row r="42" spans="1:18">
      <c r="D42" s="66"/>
    </row>
    <row r="43" spans="1:18">
      <c r="B43" t="s">
        <v>48</v>
      </c>
      <c r="D43" s="66">
        <f>280000+26000</f>
        <v>306000</v>
      </c>
      <c r="G43" t="s">
        <v>417</v>
      </c>
    </row>
    <row r="44" spans="1:18">
      <c r="B44" t="s">
        <v>418</v>
      </c>
      <c r="D44" s="68">
        <f>580000*0.35</f>
        <v>203000</v>
      </c>
      <c r="G44" t="s">
        <v>419</v>
      </c>
    </row>
    <row r="45" spans="1:18">
      <c r="D45" s="66">
        <f>D43-D44</f>
        <v>103000</v>
      </c>
    </row>
    <row r="46" spans="1:18">
      <c r="D46" s="66"/>
    </row>
    <row r="47" spans="1:18">
      <c r="D47" s="66"/>
    </row>
    <row r="48" spans="1:18">
      <c r="B48" s="64" t="s">
        <v>420</v>
      </c>
      <c r="D48" s="66"/>
    </row>
    <row r="49" spans="2:7">
      <c r="B49" t="s">
        <v>421</v>
      </c>
      <c r="D49" s="66">
        <v>600000</v>
      </c>
    </row>
    <row r="50" spans="2:7">
      <c r="B50" t="s">
        <v>373</v>
      </c>
      <c r="D50" s="68">
        <f>60000-80000</f>
        <v>-20000</v>
      </c>
      <c r="G50" t="s">
        <v>422</v>
      </c>
    </row>
    <row r="51" spans="2:7">
      <c r="D51" s="66">
        <f>D49+D50</f>
        <v>580000</v>
      </c>
    </row>
    <row r="52" spans="2:7">
      <c r="D52" s="66"/>
    </row>
    <row r="53" spans="2:7">
      <c r="B53" s="64" t="s">
        <v>423</v>
      </c>
      <c r="D53" s="66"/>
    </row>
    <row r="54" spans="2:7">
      <c r="B54" t="s">
        <v>424</v>
      </c>
      <c r="D54" s="66">
        <f>(80000-60000)*0.35</f>
        <v>7000</v>
      </c>
      <c r="G54" t="s">
        <v>425</v>
      </c>
    </row>
    <row r="55" spans="2:7">
      <c r="B55" t="s">
        <v>369</v>
      </c>
      <c r="D55" s="66">
        <f>(240000-180000*6/8)*0.35</f>
        <v>36750</v>
      </c>
      <c r="G55" t="s">
        <v>426</v>
      </c>
    </row>
    <row r="56" spans="2:7">
      <c r="B56" t="s">
        <v>34</v>
      </c>
      <c r="D56" s="68">
        <f>D57-D54-D55</f>
        <v>59250</v>
      </c>
    </row>
    <row r="57" spans="2:7">
      <c r="D57" s="66">
        <f>D45</f>
        <v>103000</v>
      </c>
    </row>
    <row r="58" spans="2:7">
      <c r="D58" s="66"/>
    </row>
    <row r="59" spans="2:7" ht="15">
      <c r="B59" s="61" t="s">
        <v>427</v>
      </c>
      <c r="C59" s="62"/>
      <c r="D59" s="66"/>
    </row>
    <row r="60" spans="2:7">
      <c r="D60" s="76" t="s">
        <v>428</v>
      </c>
      <c r="E60" s="77" t="s">
        <v>123</v>
      </c>
    </row>
    <row r="61" spans="2:7">
      <c r="B61" t="s">
        <v>429</v>
      </c>
      <c r="D61" s="66">
        <f>D5</f>
        <v>306000</v>
      </c>
      <c r="E61" s="66"/>
    </row>
    <row r="62" spans="2:7">
      <c r="B62" t="s">
        <v>124</v>
      </c>
      <c r="D62" s="66"/>
      <c r="E62" s="66">
        <v>280000</v>
      </c>
    </row>
    <row r="63" spans="2:7">
      <c r="B63" t="s">
        <v>430</v>
      </c>
      <c r="D63" s="68"/>
      <c r="E63" s="68">
        <v>26000</v>
      </c>
    </row>
    <row r="64" spans="2:7">
      <c r="D64" s="66">
        <f>SUM(D61:D63)</f>
        <v>306000</v>
      </c>
      <c r="E64" s="66">
        <f>SUM(E61:E63)</f>
        <v>306000</v>
      </c>
    </row>
    <row r="65" spans="1:7">
      <c r="D65" s="66"/>
    </row>
    <row r="66" spans="1:7">
      <c r="A66" s="75" t="s">
        <v>431</v>
      </c>
      <c r="B66" s="64" t="s">
        <v>432</v>
      </c>
      <c r="D66" s="66"/>
    </row>
    <row r="67" spans="1:7">
      <c r="B67" s="64" t="s">
        <v>433</v>
      </c>
      <c r="D67" s="66"/>
    </row>
    <row r="68" spans="1:7" ht="15">
      <c r="B68" t="s">
        <v>434</v>
      </c>
      <c r="D68" s="78">
        <f>180000*5.25/8</f>
        <v>118125</v>
      </c>
      <c r="G68" t="s">
        <v>435</v>
      </c>
    </row>
    <row r="69" spans="1:7">
      <c r="B69" t="s">
        <v>436</v>
      </c>
      <c r="D69" s="66">
        <v>190000</v>
      </c>
    </row>
    <row r="70" spans="1:7">
      <c r="D70" s="66"/>
    </row>
    <row r="71" spans="1:7">
      <c r="B71" s="64" t="s">
        <v>437</v>
      </c>
      <c r="D71" s="66"/>
    </row>
    <row r="72" spans="1:7">
      <c r="B72" t="s">
        <v>434</v>
      </c>
      <c r="D72" s="66">
        <f>240000*5.25/6</f>
        <v>210000</v>
      </c>
      <c r="G72" t="s">
        <v>438</v>
      </c>
    </row>
    <row r="73" spans="1:7" ht="15">
      <c r="B73" t="s">
        <v>436</v>
      </c>
      <c r="D73" s="78">
        <v>190000</v>
      </c>
    </row>
    <row r="74" spans="1:7">
      <c r="D74" s="66"/>
    </row>
    <row r="75" spans="1:7">
      <c r="B75" s="64" t="s">
        <v>439</v>
      </c>
      <c r="D75" s="66"/>
    </row>
    <row r="76" spans="1:7">
      <c r="D76" s="66"/>
    </row>
    <row r="77" spans="1:7">
      <c r="D77" s="66">
        <f>(190000-118125)*0.35</f>
        <v>25156.25</v>
      </c>
      <c r="G77" t="s">
        <v>440</v>
      </c>
    </row>
    <row r="78" spans="1:7">
      <c r="D78" s="66"/>
    </row>
    <row r="79" spans="1:7">
      <c r="B79" t="s">
        <v>441</v>
      </c>
      <c r="D79" s="66">
        <f>36750-4594-25156</f>
        <v>7000</v>
      </c>
      <c r="G79" t="s">
        <v>442</v>
      </c>
    </row>
    <row r="80" spans="1:7">
      <c r="D80" s="66"/>
    </row>
    <row r="81" spans="1:7">
      <c r="A81" s="75" t="s">
        <v>443</v>
      </c>
      <c r="B81" t="s">
        <v>444</v>
      </c>
      <c r="D81" s="66"/>
    </row>
    <row r="82" spans="1:7">
      <c r="D82" s="66"/>
    </row>
    <row r="83" spans="1:7">
      <c r="B83" s="64" t="s">
        <v>433</v>
      </c>
      <c r="D83" s="66"/>
    </row>
    <row r="84" spans="1:7">
      <c r="B84" t="s">
        <v>445</v>
      </c>
      <c r="D84" s="66">
        <f>60000-80000</f>
        <v>-20000</v>
      </c>
      <c r="G84" t="s">
        <v>422</v>
      </c>
    </row>
    <row r="85" spans="1:7">
      <c r="D85" s="68">
        <f>D86-D84</f>
        <v>10000</v>
      </c>
    </row>
    <row r="86" spans="1:7">
      <c r="B86" t="s">
        <v>446</v>
      </c>
      <c r="D86" s="66">
        <f>50000-60000</f>
        <v>-10000</v>
      </c>
      <c r="G86" t="s">
        <v>447</v>
      </c>
    </row>
    <row r="87" spans="1:7">
      <c r="D87" s="66"/>
    </row>
    <row r="88" spans="1:7">
      <c r="B88" t="s">
        <v>448</v>
      </c>
      <c r="D88" s="66">
        <f>0.35*10000</f>
        <v>3500</v>
      </c>
      <c r="G88" t="s">
        <v>449</v>
      </c>
    </row>
    <row r="89" spans="1:7">
      <c r="D89" s="66"/>
    </row>
    <row r="90" spans="1:7">
      <c r="D90" s="66"/>
    </row>
    <row r="91" spans="1:7" ht="15">
      <c r="B91" s="61" t="s">
        <v>450</v>
      </c>
      <c r="C91" s="62"/>
      <c r="D91" s="62"/>
    </row>
    <row r="92" spans="1:7">
      <c r="D92" s="66"/>
    </row>
    <row r="93" spans="1:7">
      <c r="B93" s="64" t="s">
        <v>451</v>
      </c>
      <c r="D93" s="76" t="s">
        <v>428</v>
      </c>
      <c r="E93" s="77" t="s">
        <v>123</v>
      </c>
    </row>
    <row r="94" spans="1:7">
      <c r="B94" t="s">
        <v>429</v>
      </c>
      <c r="D94" s="66"/>
      <c r="E94" s="66">
        <f>-D13</f>
        <v>91866.071428571435</v>
      </c>
    </row>
    <row r="95" spans="1:7">
      <c r="B95" t="s">
        <v>124</v>
      </c>
      <c r="D95" s="66">
        <v>110000</v>
      </c>
      <c r="E95" s="66"/>
    </row>
    <row r="96" spans="1:7">
      <c r="B96" t="s">
        <v>257</v>
      </c>
      <c r="D96" s="68"/>
      <c r="E96" s="68">
        <f>D95-E94</f>
        <v>18133.928571428565</v>
      </c>
    </row>
    <row r="97" spans="1:7">
      <c r="D97" s="66">
        <f>SUM(D94:D96)</f>
        <v>110000</v>
      </c>
      <c r="E97" s="66">
        <f>SUM(E94:E96)</f>
        <v>110000</v>
      </c>
    </row>
    <row r="98" spans="1:7">
      <c r="D98" s="66"/>
    </row>
    <row r="99" spans="1:7">
      <c r="B99" s="64" t="s">
        <v>452</v>
      </c>
      <c r="D99" s="76" t="s">
        <v>428</v>
      </c>
      <c r="E99" s="77" t="s">
        <v>123</v>
      </c>
    </row>
    <row r="100" spans="1:7">
      <c r="B100" s="79" t="s">
        <v>453</v>
      </c>
      <c r="D100" s="66">
        <f>7000*10/35</f>
        <v>2000</v>
      </c>
      <c r="E100" s="5"/>
      <c r="G100" t="s">
        <v>454</v>
      </c>
    </row>
    <row r="101" spans="1:7">
      <c r="B101" s="79" t="s">
        <v>455</v>
      </c>
      <c r="D101" s="66"/>
      <c r="E101" s="66">
        <f>D100</f>
        <v>2000</v>
      </c>
    </row>
    <row r="102" spans="1:7">
      <c r="D102" s="66"/>
    </row>
    <row r="103" spans="1:7">
      <c r="A103" s="75" t="s">
        <v>456</v>
      </c>
      <c r="B103" s="64" t="s">
        <v>432</v>
      </c>
      <c r="D103" s="66"/>
    </row>
    <row r="104" spans="1:7">
      <c r="B104" s="64" t="s">
        <v>433</v>
      </c>
      <c r="D104" s="66"/>
    </row>
    <row r="105" spans="1:7" ht="15">
      <c r="B105" t="s">
        <v>434</v>
      </c>
      <c r="D105" s="78">
        <f>180000*5/8</f>
        <v>112500</v>
      </c>
      <c r="G105" t="s">
        <v>457</v>
      </c>
    </row>
    <row r="106" spans="1:7">
      <c r="B106" t="s">
        <v>436</v>
      </c>
      <c r="D106" s="66">
        <v>170000</v>
      </c>
    </row>
    <row r="107" spans="1:7">
      <c r="D107" s="66"/>
    </row>
    <row r="108" spans="1:7">
      <c r="B108" s="64" t="s">
        <v>437</v>
      </c>
      <c r="D108" s="66"/>
    </row>
    <row r="109" spans="1:7">
      <c r="B109" t="s">
        <v>434</v>
      </c>
      <c r="D109" s="66">
        <f>240000*5/6</f>
        <v>200000</v>
      </c>
      <c r="G109" t="s">
        <v>458</v>
      </c>
    </row>
    <row r="110" spans="1:7" ht="15">
      <c r="B110" t="s">
        <v>436</v>
      </c>
      <c r="D110" s="78">
        <f>D106</f>
        <v>170000</v>
      </c>
    </row>
    <row r="111" spans="1:7" ht="15">
      <c r="D111" s="78"/>
    </row>
    <row r="112" spans="1:7">
      <c r="D112" s="66"/>
    </row>
    <row r="113" spans="1:7">
      <c r="B113" s="64" t="s">
        <v>439</v>
      </c>
      <c r="D113" s="66"/>
    </row>
    <row r="114" spans="1:7">
      <c r="D114" s="66"/>
    </row>
    <row r="115" spans="1:7">
      <c r="D115" s="66">
        <f>(170000-112500)*0.25</f>
        <v>14375</v>
      </c>
      <c r="G115" t="s">
        <v>459</v>
      </c>
    </row>
    <row r="116" spans="1:7">
      <c r="D116" s="66"/>
    </row>
    <row r="117" spans="1:7">
      <c r="B117" t="s">
        <v>441</v>
      </c>
      <c r="D117" s="66">
        <f>25156*25/35-856-14375</f>
        <v>2737.5714285714275</v>
      </c>
      <c r="G117" t="s">
        <v>460</v>
      </c>
    </row>
    <row r="118" spans="1:7">
      <c r="D118" s="66"/>
    </row>
    <row r="119" spans="1:7">
      <c r="A119" s="75" t="s">
        <v>461</v>
      </c>
      <c r="B119" s="64" t="s">
        <v>444</v>
      </c>
      <c r="D119" s="66"/>
    </row>
    <row r="120" spans="1:7">
      <c r="D120" s="66"/>
    </row>
    <row r="121" spans="1:7">
      <c r="B121" s="64" t="s">
        <v>433</v>
      </c>
      <c r="D121" s="66"/>
    </row>
    <row r="122" spans="1:7">
      <c r="B122" t="s">
        <v>462</v>
      </c>
      <c r="D122" s="66">
        <f>50000-60000</f>
        <v>-10000</v>
      </c>
      <c r="G122" t="s">
        <v>447</v>
      </c>
    </row>
    <row r="123" spans="1:7">
      <c r="D123" s="68">
        <f>D124-D122</f>
        <v>-5000</v>
      </c>
    </row>
    <row r="124" spans="1:7">
      <c r="B124" t="s">
        <v>463</v>
      </c>
      <c r="D124" s="66">
        <f>70000-85000</f>
        <v>-15000</v>
      </c>
      <c r="G124" t="s">
        <v>464</v>
      </c>
    </row>
    <row r="125" spans="1:7">
      <c r="D125" s="66"/>
    </row>
    <row r="126" spans="1:7">
      <c r="B126" t="s">
        <v>448</v>
      </c>
      <c r="D126" s="66">
        <f>0.25*-5000</f>
        <v>-1250</v>
      </c>
      <c r="G126" t="s">
        <v>465</v>
      </c>
    </row>
    <row r="127" spans="1:7">
      <c r="D127" s="66"/>
    </row>
    <row r="128" spans="1:7">
      <c r="A128" s="75" t="s">
        <v>466</v>
      </c>
      <c r="B128" s="64" t="s">
        <v>467</v>
      </c>
      <c r="D128" s="66"/>
    </row>
    <row r="129" spans="1:13">
      <c r="D129" s="66"/>
    </row>
    <row r="130" spans="1:13">
      <c r="B130" t="s">
        <v>688</v>
      </c>
      <c r="D130" s="66">
        <f>7000*25/35</f>
        <v>5000</v>
      </c>
      <c r="G130" t="s">
        <v>694</v>
      </c>
    </row>
    <row r="131" spans="1:13">
      <c r="D131" s="66"/>
    </row>
    <row r="132" spans="1:13">
      <c r="B132" t="s">
        <v>695</v>
      </c>
      <c r="D132" s="66"/>
      <c r="F132">
        <f>(130000-170000)*0.25</f>
        <v>-10000</v>
      </c>
    </row>
    <row r="133" spans="1:13">
      <c r="D133" s="66"/>
    </row>
    <row r="134" spans="1:13">
      <c r="D134" s="128"/>
      <c r="E134" s="129"/>
      <c r="F134">
        <f>D130*-1</f>
        <v>-5000</v>
      </c>
      <c r="G134" t="s">
        <v>689</v>
      </c>
    </row>
    <row r="135" spans="1:13">
      <c r="D135" s="66"/>
      <c r="E135" s="66"/>
      <c r="F135">
        <f>F132-F134</f>
        <v>-5000</v>
      </c>
      <c r="G135" t="s">
        <v>690</v>
      </c>
    </row>
    <row r="136" spans="1:13">
      <c r="D136" s="66"/>
    </row>
    <row r="137" spans="1:13">
      <c r="D137" s="66"/>
    </row>
    <row r="138" spans="1:13">
      <c r="A138" s="75" t="s">
        <v>468</v>
      </c>
      <c r="B138" s="64" t="s">
        <v>432</v>
      </c>
      <c r="D138" s="66"/>
    </row>
    <row r="139" spans="1:13">
      <c r="B139" s="64" t="s">
        <v>433</v>
      </c>
      <c r="D139" s="66"/>
    </row>
    <row r="140" spans="1:13" ht="15">
      <c r="B140" t="s">
        <v>434</v>
      </c>
      <c r="D140" s="78">
        <f>180000*4.5/8</f>
        <v>101250</v>
      </c>
      <c r="G140" t="s">
        <v>469</v>
      </c>
    </row>
    <row r="141" spans="1:13">
      <c r="B141" t="s">
        <v>436</v>
      </c>
      <c r="D141" s="66">
        <v>160000</v>
      </c>
    </row>
    <row r="142" spans="1:13">
      <c r="D142" s="66"/>
    </row>
    <row r="143" spans="1:13">
      <c r="B143" s="64" t="s">
        <v>437</v>
      </c>
      <c r="D143" s="66"/>
      <c r="L143" s="67"/>
      <c r="M143" s="67"/>
    </row>
    <row r="144" spans="1:13">
      <c r="B144" t="s">
        <v>434</v>
      </c>
      <c r="D144" s="66">
        <f>240000*4.5/6</f>
        <v>180000</v>
      </c>
      <c r="G144" t="s">
        <v>470</v>
      </c>
    </row>
    <row r="145" spans="1:7" ht="15">
      <c r="B145" t="s">
        <v>436</v>
      </c>
      <c r="D145" s="78">
        <f>D141</f>
        <v>160000</v>
      </c>
    </row>
    <row r="146" spans="1:7">
      <c r="D146" s="66"/>
    </row>
    <row r="147" spans="1:7">
      <c r="B147" s="64" t="s">
        <v>439</v>
      </c>
      <c r="D147" s="66"/>
    </row>
    <row r="148" spans="1:7">
      <c r="D148" s="66"/>
    </row>
    <row r="149" spans="1:7">
      <c r="D149" s="66">
        <f>(160000-101250)*0.25</f>
        <v>14687.5</v>
      </c>
      <c r="G149" t="s">
        <v>471</v>
      </c>
    </row>
    <row r="150" spans="1:7">
      <c r="D150" s="66"/>
    </row>
    <row r="151" spans="1:7">
      <c r="B151" t="s">
        <v>472</v>
      </c>
      <c r="D151" s="66">
        <f>14375*4.5/5-14688</f>
        <v>-1750.5</v>
      </c>
      <c r="G151" t="s">
        <v>473</v>
      </c>
    </row>
    <row r="153" spans="1:7">
      <c r="A153" s="75" t="s">
        <v>474</v>
      </c>
      <c r="B153" s="64" t="s">
        <v>444</v>
      </c>
      <c r="D153" s="66"/>
    </row>
    <row r="154" spans="1:7">
      <c r="D154" s="66"/>
    </row>
    <row r="155" spans="1:7">
      <c r="B155" s="64" t="s">
        <v>433</v>
      </c>
      <c r="D155" s="66"/>
    </row>
    <row r="156" spans="1:7">
      <c r="B156" t="s">
        <v>462</v>
      </c>
      <c r="D156" s="66">
        <f>70000-85000</f>
        <v>-15000</v>
      </c>
      <c r="G156" t="s">
        <v>464</v>
      </c>
    </row>
    <row r="157" spans="1:7">
      <c r="D157" s="68">
        <f>D158-D156</f>
        <v>3000</v>
      </c>
    </row>
    <row r="158" spans="1:7">
      <c r="B158" t="s">
        <v>463</v>
      </c>
      <c r="D158" s="66">
        <f>30000-42000</f>
        <v>-12000</v>
      </c>
      <c r="G158" t="s">
        <v>475</v>
      </c>
    </row>
    <row r="159" spans="1:7">
      <c r="D159" s="66"/>
    </row>
    <row r="160" spans="1:7">
      <c r="B160" t="s">
        <v>448</v>
      </c>
      <c r="D160" s="66">
        <f>0.25*3000</f>
        <v>750</v>
      </c>
      <c r="G160" t="s">
        <v>476</v>
      </c>
    </row>
    <row r="162" spans="1:7">
      <c r="A162" s="75" t="s">
        <v>477</v>
      </c>
      <c r="B162" s="64" t="s">
        <v>478</v>
      </c>
      <c r="D162" s="66"/>
    </row>
    <row r="163" spans="1:7">
      <c r="D163" s="66"/>
    </row>
    <row r="164" spans="1:7">
      <c r="B164" t="s">
        <v>48</v>
      </c>
      <c r="D164" s="66">
        <f>850000*5500/10000</f>
        <v>467500</v>
      </c>
      <c r="G164" t="s">
        <v>404</v>
      </c>
    </row>
    <row r="165" spans="1:7">
      <c r="B165" t="s">
        <v>418</v>
      </c>
      <c r="D165" s="68">
        <f>D176</f>
        <v>448450</v>
      </c>
    </row>
    <row r="166" spans="1:7">
      <c r="D166" s="66">
        <f>D164-D165</f>
        <v>19050</v>
      </c>
    </row>
    <row r="167" spans="1:7">
      <c r="D167" s="66"/>
    </row>
    <row r="168" spans="1:7">
      <c r="B168" s="64" t="s">
        <v>420</v>
      </c>
      <c r="D168" s="66"/>
    </row>
    <row r="169" spans="1:7">
      <c r="B169" t="s">
        <v>421</v>
      </c>
      <c r="D169" s="66">
        <f>600000+90000*1.5</f>
        <v>735000</v>
      </c>
      <c r="G169" t="s">
        <v>479</v>
      </c>
    </row>
    <row r="170" spans="1:7">
      <c r="B170" t="s">
        <v>373</v>
      </c>
      <c r="D170" s="68">
        <f>30000-42000</f>
        <v>-12000</v>
      </c>
      <c r="G170" t="s">
        <v>475</v>
      </c>
    </row>
    <row r="171" spans="1:7">
      <c r="D171" s="66">
        <f>D169+D170</f>
        <v>723000</v>
      </c>
    </row>
    <row r="172" spans="1:7">
      <c r="D172" s="66"/>
    </row>
    <row r="173" spans="1:7">
      <c r="B173" s="64" t="s">
        <v>480</v>
      </c>
      <c r="D173" s="66"/>
    </row>
    <row r="174" spans="1:7">
      <c r="B174" t="s">
        <v>481</v>
      </c>
      <c r="D174" s="66">
        <f>0.25*723000</f>
        <v>180750</v>
      </c>
      <c r="G174" t="s">
        <v>482</v>
      </c>
    </row>
    <row r="175" spans="1:7">
      <c r="B175" t="s">
        <v>483</v>
      </c>
      <c r="D175" s="68">
        <f>0.4*(723000+850000)</f>
        <v>629200</v>
      </c>
      <c r="G175" t="s">
        <v>484</v>
      </c>
    </row>
    <row r="176" spans="1:7">
      <c r="D176" s="66">
        <f>D175-D174</f>
        <v>448450</v>
      </c>
    </row>
    <row r="177" spans="1:7">
      <c r="D177" s="66"/>
    </row>
    <row r="178" spans="1:7">
      <c r="B178" s="80" t="s">
        <v>485</v>
      </c>
      <c r="C178" s="62"/>
      <c r="D178" s="66"/>
    </row>
    <row r="179" spans="1:7">
      <c r="B179" t="s">
        <v>424</v>
      </c>
      <c r="D179" s="66">
        <f>(42000-30000)*0.15</f>
        <v>1800</v>
      </c>
      <c r="G179" t="s">
        <v>486</v>
      </c>
    </row>
    <row r="180" spans="1:7">
      <c r="B180" t="s">
        <v>369</v>
      </c>
      <c r="D180" s="66">
        <f>(160000-180000*4.5/8)*0.15</f>
        <v>8812.5</v>
      </c>
      <c r="G180" t="s">
        <v>487</v>
      </c>
    </row>
    <row r="181" spans="1:7">
      <c r="B181" t="s">
        <v>34</v>
      </c>
      <c r="D181" s="68">
        <f>D182-D179-D180</f>
        <v>8437.5</v>
      </c>
    </row>
    <row r="182" spans="1:7">
      <c r="D182" s="66">
        <f>D166</f>
        <v>19050</v>
      </c>
    </row>
    <row r="183" spans="1:7">
      <c r="D183" s="66"/>
    </row>
    <row r="184" spans="1:7">
      <c r="A184" s="75" t="s">
        <v>488</v>
      </c>
      <c r="B184" s="64" t="s">
        <v>489</v>
      </c>
      <c r="D184" s="66"/>
    </row>
    <row r="185" spans="1:7">
      <c r="B185" t="s">
        <v>490</v>
      </c>
      <c r="D185" s="66"/>
    </row>
    <row r="186" spans="1:7">
      <c r="B186" t="s">
        <v>491</v>
      </c>
      <c r="D186" s="66"/>
    </row>
    <row r="187" spans="1:7">
      <c r="B187" t="s">
        <v>492</v>
      </c>
      <c r="D187" s="66"/>
    </row>
    <row r="188" spans="1:7">
      <c r="D188" s="66"/>
    </row>
    <row r="189" spans="1:7">
      <c r="B189" t="s">
        <v>493</v>
      </c>
      <c r="D189" s="66"/>
    </row>
    <row r="190" spans="1:7">
      <c r="B190" t="s">
        <v>494</v>
      </c>
    </row>
    <row r="191" spans="1:7" ht="15">
      <c r="D191" s="81" t="s">
        <v>122</v>
      </c>
      <c r="E191" s="81" t="s">
        <v>123</v>
      </c>
    </row>
    <row r="192" spans="1:7">
      <c r="C192" t="s">
        <v>453</v>
      </c>
      <c r="D192" s="66"/>
      <c r="E192" s="66">
        <v>7000</v>
      </c>
    </row>
    <row r="193" spans="1:8">
      <c r="C193" t="s">
        <v>495</v>
      </c>
      <c r="D193" s="66">
        <v>7000</v>
      </c>
      <c r="E193" s="66"/>
    </row>
    <row r="195" spans="1:8">
      <c r="A195" s="75" t="s">
        <v>488</v>
      </c>
      <c r="B195" s="64" t="s">
        <v>496</v>
      </c>
      <c r="D195" s="66"/>
    </row>
    <row r="196" spans="1:8">
      <c r="B196" s="64" t="s">
        <v>433</v>
      </c>
      <c r="D196" s="66"/>
    </row>
    <row r="197" spans="1:8" ht="15">
      <c r="B197" t="s">
        <v>434</v>
      </c>
      <c r="D197" s="78">
        <f>180000*4/8</f>
        <v>90000</v>
      </c>
    </row>
    <row r="198" spans="1:8">
      <c r="B198" t="s">
        <v>436</v>
      </c>
      <c r="D198" s="66">
        <v>120000</v>
      </c>
    </row>
    <row r="199" spans="1:8">
      <c r="D199" s="66"/>
    </row>
    <row r="200" spans="1:8">
      <c r="B200" s="64" t="s">
        <v>437</v>
      </c>
      <c r="D200" s="66"/>
    </row>
    <row r="201" spans="1:8">
      <c r="B201" t="s">
        <v>434</v>
      </c>
      <c r="D201" s="82">
        <f>((240000*4/6)*0.25+(160000*4/4.5)*0.15)/0.4</f>
        <v>153333.33333333331</v>
      </c>
      <c r="H201" t="s">
        <v>497</v>
      </c>
    </row>
    <row r="202" spans="1:8" ht="15">
      <c r="B202" t="s">
        <v>436</v>
      </c>
      <c r="D202" s="78">
        <f>D198</f>
        <v>120000</v>
      </c>
    </row>
    <row r="203" spans="1:8">
      <c r="D203" s="66"/>
    </row>
    <row r="204" spans="1:8">
      <c r="B204" s="64" t="s">
        <v>439</v>
      </c>
      <c r="D204" s="66"/>
    </row>
    <row r="205" spans="1:8">
      <c r="D205" s="66"/>
    </row>
    <row r="206" spans="1:8">
      <c r="D206" s="66">
        <f>(120000-90000)*0.4</f>
        <v>12000</v>
      </c>
      <c r="G206" t="s">
        <v>498</v>
      </c>
    </row>
    <row r="207" spans="1:8">
      <c r="D207" s="66"/>
    </row>
    <row r="208" spans="1:8">
      <c r="B208" t="s">
        <v>499</v>
      </c>
      <c r="D208" s="66">
        <f>(8813+14688)*4/4.5-12000</f>
        <v>8889.7777777777774</v>
      </c>
      <c r="G208" t="s">
        <v>500</v>
      </c>
    </row>
    <row r="210" spans="2:9" ht="15">
      <c r="B210" s="61" t="s">
        <v>501</v>
      </c>
      <c r="C210" s="62"/>
      <c r="D210" s="62"/>
    </row>
    <row r="212" spans="2:9" ht="15">
      <c r="B212" s="83" t="s">
        <v>502</v>
      </c>
    </row>
    <row r="213" spans="2:9">
      <c r="B213" s="64" t="s">
        <v>503</v>
      </c>
    </row>
    <row r="214" spans="2:9">
      <c r="B214" t="s">
        <v>504</v>
      </c>
      <c r="D214" s="66">
        <f>23625-7000-4594-7000+3500+5625-856-2738-1250-5000</f>
        <v>4312</v>
      </c>
      <c r="I214" t="s">
        <v>505</v>
      </c>
    </row>
    <row r="215" spans="2:9">
      <c r="B215" t="s">
        <v>506</v>
      </c>
      <c r="D215" s="68">
        <f>E96+E101</f>
        <v>20133.928571428565</v>
      </c>
      <c r="H215" t="s">
        <v>507</v>
      </c>
    </row>
    <row r="216" spans="2:9">
      <c r="D216" s="66">
        <f>D214+D215</f>
        <v>24445.928571428565</v>
      </c>
    </row>
    <row r="217" spans="2:9">
      <c r="B217" s="64" t="s">
        <v>508</v>
      </c>
    </row>
    <row r="218" spans="2:9">
      <c r="B218" t="s">
        <v>509</v>
      </c>
      <c r="D218" s="5">
        <f>7000-2000-10000+5000</f>
        <v>0</v>
      </c>
      <c r="H218" t="s">
        <v>696</v>
      </c>
    </row>
    <row r="226" spans="2:8" ht="15">
      <c r="B226" s="83" t="s">
        <v>510</v>
      </c>
    </row>
    <row r="227" spans="2:8">
      <c r="B227" s="64" t="s">
        <v>503</v>
      </c>
    </row>
    <row r="228" spans="2:8">
      <c r="B228" t="s">
        <v>504</v>
      </c>
      <c r="D228" s="66">
        <f>11250-1438+1751+750+18000-1800-2611-8890-7000</f>
        <v>10012</v>
      </c>
      <c r="E228" s="84"/>
      <c r="F228" s="84"/>
      <c r="G228" s="84"/>
      <c r="H228" s="84" t="s">
        <v>511</v>
      </c>
    </row>
    <row r="229" spans="2:8">
      <c r="B229" t="s">
        <v>506</v>
      </c>
      <c r="D229" s="72">
        <f>E104+E109</f>
        <v>0</v>
      </c>
    </row>
    <row r="230" spans="2:8">
      <c r="B230" t="s">
        <v>512</v>
      </c>
      <c r="D230" s="68">
        <f>-D247</f>
        <v>-9000</v>
      </c>
    </row>
    <row r="231" spans="2:8">
      <c r="D231" s="66">
        <f>SUM(D228:D230)</f>
        <v>1012</v>
      </c>
    </row>
    <row r="232" spans="2:8">
      <c r="B232" s="64" t="s">
        <v>508</v>
      </c>
    </row>
    <row r="233" spans="2:8">
      <c r="B233" t="s">
        <v>509</v>
      </c>
      <c r="D233" s="5">
        <f>7000-2000-10000+5000</f>
        <v>0</v>
      </c>
      <c r="H233" t="s">
        <v>697</v>
      </c>
    </row>
    <row r="235" spans="2:8" ht="15">
      <c r="B235" s="61" t="s">
        <v>513</v>
      </c>
      <c r="C235" s="62"/>
      <c r="D235" s="62"/>
    </row>
    <row r="237" spans="2:8" ht="15">
      <c r="B237" s="85" t="s">
        <v>427</v>
      </c>
      <c r="C237" s="84"/>
      <c r="D237" s="66"/>
    </row>
    <row r="238" spans="2:8">
      <c r="D238" s="76" t="s">
        <v>428</v>
      </c>
      <c r="E238" s="77" t="s">
        <v>123</v>
      </c>
    </row>
    <row r="239" spans="2:8">
      <c r="B239" t="s">
        <v>429</v>
      </c>
      <c r="D239" s="66">
        <f>E240+E241</f>
        <v>306000</v>
      </c>
      <c r="E239" s="66"/>
    </row>
    <row r="240" spans="2:8">
      <c r="B240" t="s">
        <v>124</v>
      </c>
      <c r="D240" s="66"/>
      <c r="E240" s="66">
        <v>280000</v>
      </c>
    </row>
    <row r="241" spans="2:5">
      <c r="B241" t="s">
        <v>430</v>
      </c>
      <c r="D241" s="68"/>
      <c r="E241" s="68">
        <v>26000</v>
      </c>
    </row>
    <row r="242" spans="2:5">
      <c r="D242" s="66">
        <f>SUM(D239:D241)</f>
        <v>306000</v>
      </c>
      <c r="E242" s="66">
        <f>SUM(E239:E241)</f>
        <v>306000</v>
      </c>
    </row>
    <row r="244" spans="2:5" ht="15">
      <c r="B244" s="85" t="s">
        <v>514</v>
      </c>
      <c r="C244" s="84"/>
    </row>
    <row r="245" spans="2:5">
      <c r="D245" s="76" t="s">
        <v>428</v>
      </c>
      <c r="E245" s="77" t="s">
        <v>123</v>
      </c>
    </row>
    <row r="246" spans="2:5">
      <c r="B246" t="s">
        <v>430</v>
      </c>
      <c r="D246" s="66">
        <f>E241</f>
        <v>26000</v>
      </c>
      <c r="E246" s="66"/>
    </row>
    <row r="247" spans="2:5">
      <c r="B247" t="s">
        <v>515</v>
      </c>
      <c r="D247" s="66">
        <f>E248-D246</f>
        <v>9000</v>
      </c>
      <c r="E247" s="66"/>
    </row>
    <row r="248" spans="2:5">
      <c r="B248" t="s">
        <v>124</v>
      </c>
      <c r="D248" s="68"/>
      <c r="E248" s="68">
        <v>35000</v>
      </c>
    </row>
    <row r="249" spans="2:5">
      <c r="D249" s="66">
        <f>SUM(D246:D248)</f>
        <v>35000</v>
      </c>
      <c r="E249" s="66">
        <f>SUM(E246:E248)</f>
        <v>35000</v>
      </c>
    </row>
  </sheetData>
  <pageMargins left="0.24" right="0.24" top="0.27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98"/>
  <sheetViews>
    <sheetView rightToLeft="1" tabSelected="1" topLeftCell="A256" workbookViewId="0">
      <selection activeCell="N128" sqref="N128"/>
    </sheetView>
  </sheetViews>
  <sheetFormatPr defaultRowHeight="14.25"/>
  <cols>
    <col min="6" max="6" width="11.5" bestFit="1" customWidth="1"/>
    <col min="7" max="9" width="10.875" bestFit="1" customWidth="1"/>
    <col min="13" max="13" width="9.875" bestFit="1" customWidth="1"/>
  </cols>
  <sheetData>
    <row r="3" spans="1:13" ht="27.75">
      <c r="B3" s="1" t="s">
        <v>0</v>
      </c>
    </row>
    <row r="5" spans="1:13" ht="15">
      <c r="B5" s="127"/>
      <c r="C5" s="84"/>
      <c r="D5" s="84"/>
      <c r="E5" s="84"/>
      <c r="F5" s="84"/>
      <c r="G5" s="84"/>
      <c r="H5" s="84"/>
      <c r="I5" s="84"/>
    </row>
    <row r="7" spans="1:13" ht="15">
      <c r="C7" s="2"/>
    </row>
    <row r="9" spans="1:13" ht="15">
      <c r="B9" s="12" t="s">
        <v>681</v>
      </c>
      <c r="C9" s="13"/>
      <c r="D9" s="13"/>
      <c r="E9" s="13"/>
    </row>
    <row r="10" spans="1:13" ht="15">
      <c r="B10" s="2"/>
      <c r="F10" s="18"/>
    </row>
    <row r="11" spans="1:13" ht="15">
      <c r="B11" s="2"/>
      <c r="F11" s="19" t="s">
        <v>4</v>
      </c>
      <c r="M11" s="7" t="s">
        <v>5</v>
      </c>
    </row>
    <row r="12" spans="1:13" ht="15">
      <c r="F12" s="18"/>
      <c r="M12" s="6"/>
    </row>
    <row r="13" spans="1:13" ht="15">
      <c r="A13" s="4">
        <v>0.4</v>
      </c>
      <c r="B13" s="5" t="s">
        <v>1</v>
      </c>
      <c r="C13" t="s">
        <v>2</v>
      </c>
      <c r="F13" s="20">
        <f>F123</f>
        <v>415000</v>
      </c>
      <c r="M13" s="6"/>
    </row>
    <row r="14" spans="1:13" ht="15">
      <c r="C14" t="s">
        <v>3</v>
      </c>
      <c r="F14" s="20">
        <f>H242*A13</f>
        <v>32000</v>
      </c>
      <c r="K14" t="s">
        <v>196</v>
      </c>
      <c r="M14" s="6">
        <v>10</v>
      </c>
    </row>
    <row r="15" spans="1:13" ht="15">
      <c r="C15" t="s">
        <v>6</v>
      </c>
      <c r="F15" s="20">
        <f>F213</f>
        <v>39200</v>
      </c>
      <c r="M15" s="6">
        <v>9</v>
      </c>
    </row>
    <row r="16" spans="1:13" ht="15">
      <c r="C16" t="s">
        <v>7</v>
      </c>
      <c r="F16" s="20"/>
      <c r="M16" s="6"/>
    </row>
    <row r="17" spans="1:13" ht="15">
      <c r="D17" t="s">
        <v>8</v>
      </c>
      <c r="F17" s="20">
        <f>73333/7.75*0.5*0.7*-1</f>
        <v>-3311.8129032258062</v>
      </c>
      <c r="K17" t="s">
        <v>138</v>
      </c>
      <c r="M17" s="6">
        <v>1</v>
      </c>
    </row>
    <row r="18" spans="1:13" ht="15">
      <c r="D18" t="s">
        <v>9</v>
      </c>
      <c r="F18" s="20">
        <f>8000/5*0.5*0.7*-1</f>
        <v>-560</v>
      </c>
      <c r="K18" t="s">
        <v>140</v>
      </c>
      <c r="M18" s="6">
        <v>1</v>
      </c>
    </row>
    <row r="19" spans="1:13" ht="15">
      <c r="D19" t="s">
        <v>10</v>
      </c>
      <c r="F19" s="20">
        <f>8000/0.5*0.5*0.7*-1</f>
        <v>-5600</v>
      </c>
      <c r="K19" t="s">
        <v>141</v>
      </c>
      <c r="M19" s="6">
        <v>1</v>
      </c>
    </row>
    <row r="20" spans="1:13" ht="15">
      <c r="D20" t="s">
        <v>23</v>
      </c>
      <c r="F20" s="18">
        <f>(2800-700)*-1</f>
        <v>-2100</v>
      </c>
      <c r="K20" t="s">
        <v>195</v>
      </c>
      <c r="M20" s="6">
        <v>1</v>
      </c>
    </row>
    <row r="21" spans="1:13" ht="15">
      <c r="D21" t="s">
        <v>11</v>
      </c>
      <c r="F21" s="20">
        <f>(-2000)*0.7*-1</f>
        <v>1400</v>
      </c>
      <c r="K21" t="s">
        <v>144</v>
      </c>
      <c r="M21" s="6" t="s">
        <v>143</v>
      </c>
    </row>
    <row r="22" spans="1:13" ht="15">
      <c r="C22" t="s">
        <v>12</v>
      </c>
      <c r="F22" s="20">
        <f>73333/7.75*7.25*0.7*-1</f>
        <v>-48021.287096774191</v>
      </c>
      <c r="K22" t="s">
        <v>139</v>
      </c>
      <c r="M22" s="6">
        <v>2</v>
      </c>
    </row>
    <row r="23" spans="1:13" ht="15.75" thickBot="1">
      <c r="F23" s="20"/>
      <c r="M23" s="6"/>
    </row>
    <row r="24" spans="1:13" ht="15.75" thickTop="1">
      <c r="B24" s="5" t="s">
        <v>13</v>
      </c>
      <c r="C24" t="s">
        <v>14</v>
      </c>
      <c r="F24" s="21">
        <f>SUM(F13:F22)</f>
        <v>428006.89999999997</v>
      </c>
      <c r="M24" s="6"/>
    </row>
    <row r="25" spans="1:13" ht="15.75" thickBot="1">
      <c r="A25" s="4">
        <v>0.2</v>
      </c>
      <c r="C25" t="s">
        <v>15</v>
      </c>
      <c r="F25" s="20">
        <f>F26-F24</f>
        <v>-154003.51999999996</v>
      </c>
      <c r="I25" t="s">
        <v>29</v>
      </c>
      <c r="M25" s="6">
        <v>10</v>
      </c>
    </row>
    <row r="26" spans="1:13" ht="15.75" thickTop="1">
      <c r="B26" s="5" t="s">
        <v>13</v>
      </c>
      <c r="C26" t="s">
        <v>16</v>
      </c>
      <c r="F26" s="21">
        <f>F73</f>
        <v>274003.38</v>
      </c>
      <c r="I26" t="s">
        <v>17</v>
      </c>
      <c r="M26" s="6"/>
    </row>
    <row r="27" spans="1:13" ht="15">
      <c r="F27" s="20"/>
      <c r="M27" s="6"/>
    </row>
    <row r="28" spans="1:13" ht="15">
      <c r="C28" t="s">
        <v>3</v>
      </c>
      <c r="F28" s="20">
        <f>0.2*(100000-10000*6/12)</f>
        <v>19000</v>
      </c>
      <c r="K28" t="s">
        <v>155</v>
      </c>
      <c r="M28" s="6"/>
    </row>
    <row r="29" spans="1:13" ht="15">
      <c r="C29" t="s">
        <v>18</v>
      </c>
      <c r="F29" s="20">
        <f>0.2*(300000-100000)</f>
        <v>40000</v>
      </c>
      <c r="K29" t="s">
        <v>156</v>
      </c>
      <c r="M29" s="6"/>
    </row>
    <row r="30" spans="1:13" ht="15">
      <c r="C30" t="s">
        <v>6</v>
      </c>
      <c r="F30" s="20">
        <f>F216</f>
        <v>-16680</v>
      </c>
      <c r="M30" s="6">
        <v>9</v>
      </c>
    </row>
    <row r="31" spans="1:13" ht="15">
      <c r="C31" t="s">
        <v>7</v>
      </c>
      <c r="F31" s="20"/>
      <c r="M31" s="6"/>
    </row>
    <row r="32" spans="1:13" ht="15">
      <c r="D32" t="s">
        <v>9</v>
      </c>
      <c r="F32" s="20">
        <f>E252</f>
        <v>-476</v>
      </c>
      <c r="M32" s="6">
        <v>11</v>
      </c>
    </row>
    <row r="33" spans="2:13" ht="15.75" thickBot="1">
      <c r="F33" s="20"/>
      <c r="M33" s="6"/>
    </row>
    <row r="34" spans="2:13" ht="15.75" thickTop="1">
      <c r="B34" s="5" t="s">
        <v>20</v>
      </c>
      <c r="C34" t="s">
        <v>19</v>
      </c>
      <c r="F34" s="21">
        <f>SUM(F26:F32)</f>
        <v>315847.38</v>
      </c>
      <c r="M34" s="6"/>
    </row>
    <row r="35" spans="2:13" ht="15">
      <c r="F35" s="20"/>
      <c r="M35" s="6"/>
    </row>
    <row r="36" spans="2:13" ht="15">
      <c r="C36" t="s">
        <v>21</v>
      </c>
      <c r="F36" s="20">
        <f>0.2*(150000-10000)</f>
        <v>28000</v>
      </c>
      <c r="K36" t="s">
        <v>166</v>
      </c>
      <c r="M36" s="6"/>
    </row>
    <row r="37" spans="2:13" ht="15">
      <c r="C37" t="s">
        <v>22</v>
      </c>
      <c r="F37" s="20">
        <f>0.2*(-50000)</f>
        <v>-10000</v>
      </c>
      <c r="K37" t="s">
        <v>170</v>
      </c>
      <c r="M37" s="6">
        <v>12</v>
      </c>
    </row>
    <row r="38" spans="2:13" ht="15">
      <c r="C38" t="s">
        <v>6</v>
      </c>
      <c r="F38" s="20">
        <f>F218</f>
        <v>0</v>
      </c>
      <c r="M38" s="6">
        <v>9</v>
      </c>
    </row>
    <row r="39" spans="2:13" ht="15">
      <c r="C39" t="s">
        <v>7</v>
      </c>
      <c r="F39" s="20"/>
      <c r="M39" s="6"/>
    </row>
    <row r="40" spans="2:13" ht="15">
      <c r="D40" t="s">
        <v>9</v>
      </c>
      <c r="F40" s="20">
        <f>2800/3.5*0.73*-1</f>
        <v>-584</v>
      </c>
      <c r="K40" t="s">
        <v>176</v>
      </c>
      <c r="M40" s="6"/>
    </row>
    <row r="41" spans="2:13" ht="15">
      <c r="C41" t="s">
        <v>24</v>
      </c>
      <c r="F41" s="20"/>
      <c r="M41" s="6">
        <v>13</v>
      </c>
    </row>
    <row r="42" spans="2:13" ht="15">
      <c r="D42" t="s">
        <v>25</v>
      </c>
      <c r="F42" s="20">
        <f>M264</f>
        <v>0</v>
      </c>
      <c r="M42" s="6"/>
    </row>
    <row r="43" spans="2:13" ht="15">
      <c r="D43" t="s">
        <v>26</v>
      </c>
      <c r="F43" s="20">
        <f>M265</f>
        <v>1606</v>
      </c>
      <c r="M43" s="6"/>
    </row>
    <row r="44" spans="2:13" ht="15">
      <c r="C44" t="s">
        <v>27</v>
      </c>
      <c r="F44" s="20">
        <f>0.2*(20000-35000)</f>
        <v>-3000</v>
      </c>
      <c r="K44" t="s">
        <v>184</v>
      </c>
      <c r="M44" s="6"/>
    </row>
    <row r="45" spans="2:13" ht="15.75" thickBot="1">
      <c r="F45" s="20"/>
      <c r="M45" s="6"/>
    </row>
    <row r="46" spans="2:13" ht="15.75" thickTop="1">
      <c r="B46" s="5" t="s">
        <v>28</v>
      </c>
      <c r="C46" t="s">
        <v>19</v>
      </c>
      <c r="F46" s="21">
        <f>SUM(F34:F44)</f>
        <v>331869.38</v>
      </c>
      <c r="M46" s="6"/>
    </row>
    <row r="47" spans="2:13" ht="15">
      <c r="F47" s="18"/>
      <c r="M47" s="6"/>
    </row>
    <row r="48" spans="2:13" ht="15">
      <c r="F48" s="18"/>
      <c r="M48" s="6"/>
    </row>
    <row r="49" spans="2:13" ht="15">
      <c r="F49" s="18"/>
      <c r="M49" s="6"/>
    </row>
    <row r="50" spans="2:13" ht="15">
      <c r="B50" s="10" t="s">
        <v>682</v>
      </c>
      <c r="C50" s="11"/>
      <c r="D50" s="11"/>
      <c r="E50" s="11"/>
      <c r="F50" s="18"/>
    </row>
    <row r="51" spans="2:13" ht="15">
      <c r="B51" s="2"/>
      <c r="F51" s="18"/>
    </row>
    <row r="52" spans="2:13" ht="15">
      <c r="B52" s="2"/>
      <c r="F52" s="19" t="s">
        <v>30</v>
      </c>
      <c r="M52" s="7" t="s">
        <v>5</v>
      </c>
    </row>
    <row r="53" spans="2:13" ht="15">
      <c r="F53" s="18"/>
      <c r="M53" s="6"/>
    </row>
    <row r="54" spans="2:13" ht="15">
      <c r="B54" s="2" t="s">
        <v>37</v>
      </c>
      <c r="F54" s="20"/>
      <c r="J54">
        <v>780000</v>
      </c>
      <c r="M54" s="6"/>
    </row>
    <row r="55" spans="2:13" ht="15">
      <c r="F55" s="20"/>
      <c r="M55" s="6"/>
    </row>
    <row r="56" spans="2:13" ht="15">
      <c r="B56" t="s">
        <v>31</v>
      </c>
      <c r="F56" s="20">
        <f>0.4*(700000+80000)</f>
        <v>312000</v>
      </c>
      <c r="K56" t="s">
        <v>197</v>
      </c>
      <c r="M56" s="6"/>
    </row>
    <row r="57" spans="2:13" ht="15">
      <c r="B57" t="s">
        <v>6</v>
      </c>
      <c r="F57" s="20">
        <f>F214</f>
        <v>39200</v>
      </c>
      <c r="K57" t="s">
        <v>137</v>
      </c>
      <c r="M57" s="6">
        <v>9</v>
      </c>
    </row>
    <row r="58" spans="2:13" ht="15">
      <c r="B58" t="s">
        <v>32</v>
      </c>
      <c r="C58" t="s">
        <v>9</v>
      </c>
      <c r="F58" s="20">
        <f>8000/5*4.5</f>
        <v>7200</v>
      </c>
      <c r="K58" t="s">
        <v>149</v>
      </c>
      <c r="M58" s="6">
        <v>1</v>
      </c>
    </row>
    <row r="59" spans="2:13" ht="15">
      <c r="C59" t="s">
        <v>33</v>
      </c>
      <c r="F59" s="20">
        <f>F58*0.3*-1</f>
        <v>-2160</v>
      </c>
      <c r="M59" s="6"/>
    </row>
    <row r="60" spans="2:13" ht="15">
      <c r="C60" t="s">
        <v>34</v>
      </c>
      <c r="F60" s="20">
        <f>F140</f>
        <v>71766.760000000009</v>
      </c>
      <c r="M60" s="6">
        <v>1</v>
      </c>
    </row>
    <row r="61" spans="2:13" ht="15">
      <c r="C61" t="s">
        <v>35</v>
      </c>
      <c r="F61" s="20">
        <f>SUM(F58:F60)</f>
        <v>76806.760000000009</v>
      </c>
      <c r="M61" s="6"/>
    </row>
    <row r="62" spans="2:13" ht="15">
      <c r="B62" t="s">
        <v>35</v>
      </c>
      <c r="F62" s="20">
        <f>F56+F57+F61</f>
        <v>428006.76</v>
      </c>
      <c r="M62" s="6"/>
    </row>
    <row r="63" spans="2:13" ht="15">
      <c r="F63" s="20"/>
      <c r="M63" s="6"/>
    </row>
    <row r="64" spans="2:13" ht="15">
      <c r="F64" s="20"/>
      <c r="M64" s="6"/>
    </row>
    <row r="65" spans="2:13" ht="15">
      <c r="B65" s="2" t="s">
        <v>36</v>
      </c>
      <c r="F65" s="20"/>
      <c r="J65">
        <v>1080000</v>
      </c>
      <c r="M65" s="6"/>
    </row>
    <row r="66" spans="2:13" ht="15">
      <c r="F66" s="20"/>
      <c r="M66" s="6"/>
    </row>
    <row r="67" spans="2:13" ht="15">
      <c r="B67" t="s">
        <v>31</v>
      </c>
      <c r="F67" s="20">
        <f>0.2*(780000+300000)</f>
        <v>216000</v>
      </c>
      <c r="K67" t="s">
        <v>198</v>
      </c>
      <c r="M67" s="6"/>
    </row>
    <row r="68" spans="2:13" ht="15">
      <c r="B68" t="s">
        <v>6</v>
      </c>
      <c r="F68" s="20">
        <f>F57*0.2/0.4</f>
        <v>19600</v>
      </c>
      <c r="K68" t="s">
        <v>150</v>
      </c>
      <c r="M68" s="6">
        <v>9</v>
      </c>
    </row>
    <row r="69" spans="2:13" ht="15">
      <c r="B69" t="s">
        <v>32</v>
      </c>
      <c r="C69" t="s">
        <v>9</v>
      </c>
      <c r="F69" s="20">
        <f>F58*0.2/0.4</f>
        <v>3600</v>
      </c>
      <c r="K69" t="s">
        <v>153</v>
      </c>
      <c r="M69" s="6"/>
    </row>
    <row r="70" spans="2:13" ht="15">
      <c r="C70" t="s">
        <v>33</v>
      </c>
      <c r="F70" s="20">
        <f>F69*0.3*-1</f>
        <v>-1080</v>
      </c>
      <c r="M70" s="6"/>
    </row>
    <row r="71" spans="2:13" ht="15">
      <c r="C71" t="s">
        <v>34</v>
      </c>
      <c r="F71" s="20">
        <f>F60*0.2/0.4</f>
        <v>35883.380000000005</v>
      </c>
      <c r="K71" t="s">
        <v>154</v>
      </c>
      <c r="M71" s="6"/>
    </row>
    <row r="72" spans="2:13" ht="15">
      <c r="C72" t="s">
        <v>35</v>
      </c>
      <c r="F72" s="20">
        <f>SUM(F69:F71)</f>
        <v>38403.380000000005</v>
      </c>
      <c r="M72" s="6"/>
    </row>
    <row r="73" spans="2:13" ht="15">
      <c r="B73" t="s">
        <v>35</v>
      </c>
      <c r="F73" s="20">
        <f>F67+F68+F72</f>
        <v>274003.38</v>
      </c>
      <c r="M73" s="6"/>
    </row>
    <row r="74" spans="2:13" ht="15">
      <c r="F74" s="20"/>
      <c r="M74" s="6"/>
    </row>
    <row r="75" spans="2:13" ht="15">
      <c r="F75" s="20"/>
      <c r="M75" s="6"/>
    </row>
    <row r="76" spans="2:13" ht="15">
      <c r="B76" s="2" t="s">
        <v>38</v>
      </c>
      <c r="F76" s="20"/>
      <c r="H76" t="s">
        <v>164</v>
      </c>
      <c r="J76">
        <v>1480000</v>
      </c>
      <c r="M76" s="6"/>
    </row>
    <row r="77" spans="2:13" ht="15">
      <c r="F77" s="20"/>
      <c r="M77" s="6"/>
    </row>
    <row r="78" spans="2:13" ht="15">
      <c r="B78" t="s">
        <v>31</v>
      </c>
      <c r="F78" s="20">
        <f>0.2*(1080000+100000+300000-(100000+10000*6/12))</f>
        <v>275000</v>
      </c>
      <c r="K78" t="s">
        <v>199</v>
      </c>
      <c r="M78" s="6"/>
    </row>
    <row r="79" spans="2:13" ht="15">
      <c r="B79" t="s">
        <v>6</v>
      </c>
      <c r="F79" s="20">
        <f>F217</f>
        <v>2920</v>
      </c>
      <c r="M79" s="6">
        <v>9</v>
      </c>
    </row>
    <row r="80" spans="2:13" ht="15">
      <c r="B80" t="s">
        <v>32</v>
      </c>
      <c r="C80" t="s">
        <v>9</v>
      </c>
      <c r="F80" s="20">
        <f>3600*3.5/4.5</f>
        <v>2800</v>
      </c>
      <c r="K80" t="s">
        <v>165</v>
      </c>
      <c r="M80" s="6"/>
    </row>
    <row r="81" spans="2:13" ht="15">
      <c r="C81" t="s">
        <v>33</v>
      </c>
      <c r="F81" s="20">
        <f>F80*0.27*-1</f>
        <v>-756</v>
      </c>
      <c r="M81" s="6"/>
    </row>
    <row r="82" spans="2:13" ht="15">
      <c r="C82" t="s">
        <v>34</v>
      </c>
      <c r="F82" s="20">
        <f>F71</f>
        <v>35883.380000000005</v>
      </c>
      <c r="M82" s="6"/>
    </row>
    <row r="83" spans="2:13" ht="15">
      <c r="C83" t="s">
        <v>35</v>
      </c>
      <c r="F83" s="20">
        <f>SUM(F80:F82)</f>
        <v>37927.380000000005</v>
      </c>
      <c r="M83" s="6"/>
    </row>
    <row r="84" spans="2:13" ht="15">
      <c r="B84" t="s">
        <v>35</v>
      </c>
      <c r="F84" s="20">
        <f>F78+F79+F83</f>
        <v>315847.38</v>
      </c>
      <c r="M84" s="6"/>
    </row>
    <row r="85" spans="2:13" ht="15">
      <c r="F85" s="20"/>
      <c r="M85" s="6"/>
    </row>
    <row r="86" spans="2:13" ht="15">
      <c r="F86" s="20"/>
      <c r="M86" s="6"/>
    </row>
    <row r="87" spans="2:13" ht="15">
      <c r="B87" s="2" t="s">
        <v>39</v>
      </c>
      <c r="F87" s="20"/>
      <c r="H87" t="s">
        <v>164</v>
      </c>
      <c r="M87" s="6"/>
    </row>
    <row r="88" spans="2:13" ht="15">
      <c r="F88" s="20"/>
      <c r="M88" s="6"/>
    </row>
    <row r="89" spans="2:13" ht="15">
      <c r="B89" t="s">
        <v>31</v>
      </c>
      <c r="F89" s="20">
        <f>0.2*(1480000+150000+14600-60000-15000-(100000+10000*6/12))</f>
        <v>292920</v>
      </c>
      <c r="L89" t="s">
        <v>200</v>
      </c>
      <c r="M89" s="6"/>
    </row>
    <row r="90" spans="2:13" ht="15">
      <c r="B90" t="s">
        <v>40</v>
      </c>
      <c r="F90" s="20">
        <f>E266</f>
        <v>1606</v>
      </c>
      <c r="M90" s="6">
        <v>13</v>
      </c>
    </row>
    <row r="91" spans="2:13" ht="15">
      <c r="B91" t="s">
        <v>32</v>
      </c>
      <c r="C91" t="s">
        <v>9</v>
      </c>
      <c r="F91" s="20">
        <f>2800*2.5/3.5</f>
        <v>2000</v>
      </c>
      <c r="K91" t="s">
        <v>185</v>
      </c>
      <c r="M91" s="6"/>
    </row>
    <row r="92" spans="2:13" ht="15">
      <c r="C92" t="s">
        <v>33</v>
      </c>
      <c r="F92" s="20">
        <f>F91*0.27*-1</f>
        <v>-540</v>
      </c>
      <c r="M92" s="6"/>
    </row>
    <row r="93" spans="2:13" ht="15">
      <c r="C93" t="s">
        <v>34</v>
      </c>
      <c r="F93" s="20">
        <f>F82</f>
        <v>35883.380000000005</v>
      </c>
      <c r="M93" s="6"/>
    </row>
    <row r="94" spans="2:13" ht="15">
      <c r="C94" t="s">
        <v>35</v>
      </c>
      <c r="F94" s="20">
        <f>SUM(F91:F93)</f>
        <v>37343.380000000005</v>
      </c>
      <c r="M94" s="6"/>
    </row>
    <row r="95" spans="2:13" ht="15">
      <c r="B95" t="s">
        <v>35</v>
      </c>
      <c r="F95" s="20">
        <f>F89+F90+F94</f>
        <v>331869.38</v>
      </c>
      <c r="M95" s="6"/>
    </row>
    <row r="96" spans="2:13" ht="15">
      <c r="M96" s="6"/>
    </row>
    <row r="97" spans="2:13" ht="15">
      <c r="M97" s="6"/>
    </row>
    <row r="98" spans="2:13" ht="15">
      <c r="M98" s="6"/>
    </row>
    <row r="99" spans="2:13" ht="15">
      <c r="B99" s="10" t="s">
        <v>683</v>
      </c>
      <c r="C99" s="11"/>
      <c r="D99" s="11"/>
      <c r="E99" s="11"/>
      <c r="F99" s="11"/>
      <c r="G99" s="11"/>
      <c r="H99" s="11"/>
      <c r="I99" s="11"/>
      <c r="M99" s="7" t="s">
        <v>5</v>
      </c>
    </row>
    <row r="100" spans="2:13" ht="15">
      <c r="M100" s="6"/>
    </row>
    <row r="101" spans="2:13" ht="15">
      <c r="M101" s="6"/>
    </row>
    <row r="102" spans="2:13" ht="15">
      <c r="B102" s="2" t="s">
        <v>41</v>
      </c>
      <c r="M102" s="6">
        <v>13</v>
      </c>
    </row>
    <row r="103" spans="2:13" ht="15">
      <c r="M103" s="6"/>
    </row>
    <row r="104" spans="2:13" ht="15">
      <c r="C104" t="s">
        <v>42</v>
      </c>
      <c r="F104" s="9">
        <v>0</v>
      </c>
      <c r="M104" s="6"/>
    </row>
    <row r="105" spans="2:13" ht="15">
      <c r="C105" t="s">
        <v>24</v>
      </c>
      <c r="F105" s="9"/>
      <c r="M105" s="6"/>
    </row>
    <row r="106" spans="2:13" ht="15">
      <c r="D106" t="s">
        <v>25</v>
      </c>
      <c r="F106" s="20">
        <f>M268</f>
        <v>-178.44444444444434</v>
      </c>
      <c r="M106" s="6"/>
    </row>
    <row r="107" spans="2:13" ht="15">
      <c r="D107" t="s">
        <v>26</v>
      </c>
      <c r="F107" s="20">
        <f>M269</f>
        <v>4412.4444444444443</v>
      </c>
      <c r="M107" s="6"/>
    </row>
    <row r="108" spans="2:13" ht="15">
      <c r="F108" s="20"/>
      <c r="M108" s="6"/>
    </row>
    <row r="109" spans="2:13" ht="15">
      <c r="C109" t="s">
        <v>193</v>
      </c>
      <c r="F109" s="20">
        <f>SUM(F104:F107)</f>
        <v>4234</v>
      </c>
      <c r="M109" s="6"/>
    </row>
    <row r="110" spans="2:13" ht="15">
      <c r="F110" s="9"/>
      <c r="M110" s="6"/>
    </row>
    <row r="111" spans="2:13" ht="15">
      <c r="B111" s="2" t="s">
        <v>43</v>
      </c>
      <c r="F111" s="9"/>
      <c r="M111" s="6">
        <v>13</v>
      </c>
    </row>
    <row r="112" spans="2:13" ht="15">
      <c r="F112" s="9"/>
      <c r="M112" s="6"/>
    </row>
    <row r="113" spans="2:14" ht="15">
      <c r="C113" t="s">
        <v>44</v>
      </c>
      <c r="F113" s="9" t="s">
        <v>194</v>
      </c>
      <c r="M113" s="6"/>
    </row>
    <row r="114" spans="2:14" ht="15">
      <c r="C114" t="s">
        <v>45</v>
      </c>
      <c r="F114" s="9">
        <v>0</v>
      </c>
      <c r="M114" s="6"/>
    </row>
    <row r="115" spans="2:14" ht="15">
      <c r="M115" s="6"/>
    </row>
    <row r="116" spans="2:14" ht="15">
      <c r="M116" s="6"/>
    </row>
    <row r="117" spans="2:14" ht="15">
      <c r="M117" s="6"/>
    </row>
    <row r="118" spans="2:14" ht="15">
      <c r="B118" s="10" t="s">
        <v>46</v>
      </c>
      <c r="M118" s="6"/>
    </row>
    <row r="119" spans="2:14" ht="15">
      <c r="M119" s="6"/>
    </row>
    <row r="120" spans="2:14" ht="15">
      <c r="B120" s="14">
        <v>1</v>
      </c>
      <c r="C120" s="2" t="s">
        <v>47</v>
      </c>
      <c r="H120" s="3">
        <f>40000/100000</f>
        <v>0.4</v>
      </c>
      <c r="M120" s="7" t="s">
        <v>5</v>
      </c>
    </row>
    <row r="121" spans="2:14" ht="15">
      <c r="B121" s="6"/>
      <c r="C121" s="2"/>
      <c r="M121" s="6"/>
    </row>
    <row r="122" spans="2:14" ht="15">
      <c r="B122" s="6"/>
      <c r="C122" t="s">
        <v>51</v>
      </c>
      <c r="M122" s="6"/>
    </row>
    <row r="123" spans="2:14" ht="15">
      <c r="B123" s="6"/>
      <c r="D123" t="s">
        <v>48</v>
      </c>
      <c r="F123" s="9">
        <f>100000+100000+15000+200000</f>
        <v>415000</v>
      </c>
      <c r="K123" t="s">
        <v>67</v>
      </c>
      <c r="M123" s="6"/>
    </row>
    <row r="124" spans="2:14" ht="15">
      <c r="B124" s="6"/>
      <c r="D124" t="s">
        <v>49</v>
      </c>
      <c r="F124" s="9">
        <f>0.4*(100000+300000+300000+0)</f>
        <v>280000</v>
      </c>
      <c r="K124" t="s">
        <v>68</v>
      </c>
      <c r="M124" s="6"/>
    </row>
    <row r="125" spans="2:14" ht="15">
      <c r="B125" s="6"/>
      <c r="D125" t="s">
        <v>50</v>
      </c>
      <c r="F125" s="9">
        <f>F123-F124</f>
        <v>135000</v>
      </c>
      <c r="M125" s="6"/>
    </row>
    <row r="126" spans="2:14" ht="15">
      <c r="B126" s="6"/>
      <c r="F126" s="9"/>
      <c r="M126" s="6"/>
    </row>
    <row r="127" spans="2:14" ht="15">
      <c r="B127" s="6"/>
      <c r="C127" s="2" t="s">
        <v>52</v>
      </c>
      <c r="F127" s="9"/>
      <c r="M127" s="6"/>
      <c r="N127" s="2" t="s">
        <v>684</v>
      </c>
    </row>
    <row r="128" spans="2:14" ht="15">
      <c r="B128" s="6"/>
      <c r="D128" t="s">
        <v>8</v>
      </c>
      <c r="F128" s="9">
        <f>0.4*(700000-516667)</f>
        <v>73333.2</v>
      </c>
      <c r="K128" t="s">
        <v>98</v>
      </c>
      <c r="M128" s="6">
        <v>2</v>
      </c>
      <c r="N128" t="s">
        <v>113</v>
      </c>
    </row>
    <row r="129" spans="2:14" ht="15">
      <c r="B129" s="6"/>
      <c r="D129" t="s">
        <v>33</v>
      </c>
      <c r="F129" s="9">
        <f>F128*0.3*-1</f>
        <v>-21999.96</v>
      </c>
      <c r="M129" s="6"/>
      <c r="N129" t="s">
        <v>114</v>
      </c>
    </row>
    <row r="130" spans="2:14" ht="15">
      <c r="B130" s="6"/>
      <c r="D130" t="s">
        <v>9</v>
      </c>
      <c r="F130" s="9">
        <f>0.4*(20000-0)</f>
        <v>8000</v>
      </c>
      <c r="K130" t="s">
        <v>69</v>
      </c>
      <c r="M130" s="6">
        <v>3</v>
      </c>
      <c r="N130" t="s">
        <v>70</v>
      </c>
    </row>
    <row r="131" spans="2:14" ht="15">
      <c r="B131" s="6"/>
      <c r="D131" t="s">
        <v>33</v>
      </c>
      <c r="F131" s="9">
        <f>F130*0.3*-1</f>
        <v>-2400</v>
      </c>
      <c r="M131" s="6"/>
      <c r="N131" t="s">
        <v>114</v>
      </c>
    </row>
    <row r="132" spans="2:14" ht="15">
      <c r="B132" s="6"/>
      <c r="D132" t="s">
        <v>53</v>
      </c>
      <c r="F132" s="9">
        <v>0</v>
      </c>
      <c r="M132" s="6">
        <v>4</v>
      </c>
      <c r="N132" t="s">
        <v>71</v>
      </c>
    </row>
    <row r="133" spans="2:14" ht="15">
      <c r="B133" s="6"/>
      <c r="D133" t="s">
        <v>23</v>
      </c>
      <c r="F133" s="9">
        <f>0.4*((30000-3000)-20000)</f>
        <v>2800</v>
      </c>
      <c r="K133" t="s">
        <v>73</v>
      </c>
      <c r="M133" s="6">
        <v>5</v>
      </c>
      <c r="N133" t="s">
        <v>72</v>
      </c>
    </row>
    <row r="134" spans="2:14" ht="15">
      <c r="B134" s="6"/>
      <c r="D134" t="s">
        <v>33</v>
      </c>
      <c r="F134" s="9">
        <f>F133*0.25*-1</f>
        <v>-700</v>
      </c>
      <c r="M134" s="6"/>
      <c r="N134" t="s">
        <v>114</v>
      </c>
    </row>
    <row r="135" spans="2:14" ht="15">
      <c r="B135" s="6"/>
      <c r="D135" t="s">
        <v>54</v>
      </c>
      <c r="F135" s="9">
        <v>0</v>
      </c>
      <c r="M135" s="6">
        <v>6</v>
      </c>
      <c r="N135" t="s">
        <v>74</v>
      </c>
    </row>
    <row r="136" spans="2:14" ht="15">
      <c r="B136" s="6"/>
      <c r="D136" t="s">
        <v>10</v>
      </c>
      <c r="F136" s="9">
        <f>0.4*(20000-0)</f>
        <v>8000</v>
      </c>
      <c r="K136" t="s">
        <v>69</v>
      </c>
      <c r="M136" s="6">
        <v>7</v>
      </c>
      <c r="N136" t="s">
        <v>115</v>
      </c>
    </row>
    <row r="137" spans="2:14" ht="15">
      <c r="B137" s="6"/>
      <c r="D137" t="s">
        <v>33</v>
      </c>
      <c r="F137" s="9">
        <f>F136*0.3*-1</f>
        <v>-2400</v>
      </c>
      <c r="M137" s="6"/>
      <c r="N137" t="s">
        <v>114</v>
      </c>
    </row>
    <row r="138" spans="2:14" ht="15">
      <c r="B138" s="6"/>
      <c r="D138" t="s">
        <v>11</v>
      </c>
      <c r="F138" s="9">
        <f>0.4*(-35000-(-30000))</f>
        <v>-2000</v>
      </c>
      <c r="K138" t="s">
        <v>119</v>
      </c>
      <c r="M138" s="6">
        <v>8</v>
      </c>
      <c r="N138" t="s">
        <v>116</v>
      </c>
    </row>
    <row r="139" spans="2:14" ht="15">
      <c r="B139" s="6"/>
      <c r="D139" t="s">
        <v>33</v>
      </c>
      <c r="F139" s="9">
        <f>F138*0.3*-1</f>
        <v>600</v>
      </c>
      <c r="M139" s="6"/>
      <c r="N139" t="s">
        <v>114</v>
      </c>
    </row>
    <row r="140" spans="2:14" ht="15">
      <c r="B140" s="6"/>
      <c r="D140" t="s">
        <v>34</v>
      </c>
      <c r="F140" s="9">
        <f>F141-SUM(F128:F139)</f>
        <v>71766.760000000009</v>
      </c>
      <c r="G140" t="s">
        <v>29</v>
      </c>
      <c r="M140" s="6"/>
    </row>
    <row r="141" spans="2:14" ht="15">
      <c r="B141" s="6"/>
      <c r="D141" t="s">
        <v>35</v>
      </c>
      <c r="F141" s="9">
        <f>F125</f>
        <v>135000</v>
      </c>
      <c r="M141" s="6"/>
    </row>
    <row r="142" spans="2:14" ht="15">
      <c r="B142" s="6"/>
      <c r="M142" s="6"/>
    </row>
    <row r="143" spans="2:14" ht="15">
      <c r="B143" s="7">
        <v>2</v>
      </c>
      <c r="C143" s="2" t="s">
        <v>55</v>
      </c>
      <c r="M143" s="6"/>
    </row>
    <row r="144" spans="2:14" ht="15">
      <c r="B144" s="6"/>
      <c r="M144" s="6"/>
    </row>
    <row r="145" spans="2:13" ht="15">
      <c r="B145" s="6"/>
      <c r="C145" t="s">
        <v>79</v>
      </c>
      <c r="M145" s="6"/>
    </row>
    <row r="146" spans="2:13" ht="15">
      <c r="B146" s="6"/>
      <c r="C146" t="s">
        <v>80</v>
      </c>
      <c r="G146" s="9">
        <f>100000+120000+20000+100000+300000+200000-240000-30000-20000</f>
        <v>550000</v>
      </c>
      <c r="H146" t="s">
        <v>81</v>
      </c>
      <c r="J146">
        <f>9-0.75</f>
        <v>8.25</v>
      </c>
      <c r="M146" s="6"/>
    </row>
    <row r="147" spans="2:13" ht="15">
      <c r="B147" s="6"/>
      <c r="M147" s="6"/>
    </row>
    <row r="148" spans="2:13" ht="15">
      <c r="B148" s="6"/>
      <c r="C148" t="s">
        <v>82</v>
      </c>
      <c r="E148" t="s">
        <v>1</v>
      </c>
      <c r="G148" s="9">
        <f>550000/8.25*7.75</f>
        <v>516666.66666666669</v>
      </c>
      <c r="I148" t="s">
        <v>83</v>
      </c>
      <c r="K148" t="s">
        <v>85</v>
      </c>
      <c r="M148" s="6"/>
    </row>
    <row r="149" spans="2:13" ht="15">
      <c r="B149" s="6"/>
      <c r="E149" t="s">
        <v>13</v>
      </c>
      <c r="F149" t="s">
        <v>90</v>
      </c>
      <c r="G149" s="9">
        <f>550000/8.25*7.25</f>
        <v>483333.33333333337</v>
      </c>
      <c r="I149" t="s">
        <v>84</v>
      </c>
      <c r="K149" t="s">
        <v>86</v>
      </c>
      <c r="M149" s="6"/>
    </row>
    <row r="150" spans="2:13" ht="15">
      <c r="B150" s="6"/>
      <c r="F150" t="s">
        <v>91</v>
      </c>
      <c r="G150" s="9">
        <v>450000</v>
      </c>
      <c r="M150" s="6"/>
    </row>
    <row r="151" spans="2:13" ht="15">
      <c r="B151" s="6"/>
      <c r="C151" t="s">
        <v>87</v>
      </c>
      <c r="M151" s="6"/>
    </row>
    <row r="152" spans="2:13" ht="15">
      <c r="B152" s="6"/>
      <c r="M152" s="6"/>
    </row>
    <row r="153" spans="2:13" ht="15">
      <c r="B153" s="6"/>
      <c r="C153" t="s">
        <v>88</v>
      </c>
      <c r="H153" t="s">
        <v>89</v>
      </c>
      <c r="I153" s="15">
        <f>G146</f>
        <v>550000</v>
      </c>
      <c r="M153" s="6"/>
    </row>
    <row r="154" spans="2:13" ht="15">
      <c r="B154" s="6"/>
      <c r="H154" t="s">
        <v>1</v>
      </c>
      <c r="I154" s="15">
        <f>G148</f>
        <v>516666.66666666669</v>
      </c>
      <c r="M154" s="6"/>
    </row>
    <row r="155" spans="2:13" ht="15">
      <c r="B155" s="6"/>
      <c r="H155" t="s">
        <v>13</v>
      </c>
      <c r="I155" s="9">
        <f>G150</f>
        <v>450000</v>
      </c>
      <c r="M155" s="6"/>
    </row>
    <row r="156" spans="2:13" ht="15">
      <c r="B156" s="6"/>
      <c r="M156" s="6"/>
    </row>
    <row r="157" spans="2:13" ht="15">
      <c r="B157" s="6"/>
      <c r="C157" t="s">
        <v>112</v>
      </c>
      <c r="E157" t="s">
        <v>113</v>
      </c>
      <c r="M157" s="6"/>
    </row>
    <row r="158" spans="2:13" ht="15">
      <c r="B158" s="6"/>
      <c r="M158" s="6"/>
    </row>
    <row r="159" spans="2:13" ht="15">
      <c r="B159" s="6"/>
      <c r="C159" t="s">
        <v>92</v>
      </c>
      <c r="F159" t="s">
        <v>93</v>
      </c>
      <c r="H159" s="16">
        <f>I155</f>
        <v>450000</v>
      </c>
      <c r="J159" t="s">
        <v>94</v>
      </c>
      <c r="M159" s="6"/>
    </row>
    <row r="160" spans="2:13" ht="15">
      <c r="B160" s="6"/>
      <c r="F160" t="s">
        <v>95</v>
      </c>
      <c r="M160" s="6"/>
    </row>
    <row r="161" spans="2:13" ht="15">
      <c r="B161" s="6"/>
      <c r="G161" t="s">
        <v>90</v>
      </c>
      <c r="H161" s="9">
        <f>700000/7.75*7.25</f>
        <v>654838.70967741939</v>
      </c>
      <c r="K161" t="s">
        <v>96</v>
      </c>
      <c r="M161" s="6"/>
    </row>
    <row r="162" spans="2:13" ht="15">
      <c r="B162" s="6"/>
      <c r="G162" t="s">
        <v>91</v>
      </c>
      <c r="H162" s="16">
        <f>G150</f>
        <v>450000</v>
      </c>
      <c r="M162" s="6"/>
    </row>
    <row r="163" spans="2:13" ht="15">
      <c r="B163" s="6"/>
      <c r="H163" s="16"/>
      <c r="M163" s="6"/>
    </row>
    <row r="164" spans="2:13" ht="15">
      <c r="B164" s="6"/>
      <c r="F164" t="s">
        <v>97</v>
      </c>
      <c r="H164" s="8">
        <f>(H162-H159)*0.4</f>
        <v>0</v>
      </c>
      <c r="M164" s="6"/>
    </row>
    <row r="165" spans="2:13" ht="15">
      <c r="B165" s="6"/>
      <c r="M165" s="6"/>
    </row>
    <row r="166" spans="2:13" ht="15">
      <c r="B166" s="7">
        <v>3</v>
      </c>
      <c r="C166" s="2" t="s">
        <v>56</v>
      </c>
      <c r="M166" s="6"/>
    </row>
    <row r="167" spans="2:13" ht="15">
      <c r="B167" s="6"/>
      <c r="M167" s="6"/>
    </row>
    <row r="168" spans="2:13" ht="15">
      <c r="B168" s="6"/>
      <c r="C168" t="s">
        <v>70</v>
      </c>
      <c r="M168" s="6"/>
    </row>
    <row r="169" spans="2:13" ht="15">
      <c r="B169" s="6"/>
    </row>
    <row r="170" spans="2:13" ht="15">
      <c r="B170" s="7">
        <v>4</v>
      </c>
      <c r="C170" s="2" t="s">
        <v>57</v>
      </c>
    </row>
    <row r="171" spans="2:13" ht="15">
      <c r="B171" s="6"/>
    </row>
    <row r="172" spans="2:13" ht="15">
      <c r="B172" s="6"/>
      <c r="C172" t="s">
        <v>71</v>
      </c>
    </row>
    <row r="173" spans="2:13" ht="15">
      <c r="B173" s="6"/>
    </row>
    <row r="174" spans="2:13" ht="15">
      <c r="B174" s="7">
        <v>5</v>
      </c>
      <c r="C174" s="2" t="s">
        <v>58</v>
      </c>
    </row>
    <row r="175" spans="2:13" ht="15">
      <c r="B175" s="6"/>
    </row>
    <row r="176" spans="2:13" ht="15">
      <c r="B176" s="6"/>
      <c r="C176" t="s">
        <v>72</v>
      </c>
    </row>
    <row r="177" spans="2:3" ht="15">
      <c r="B177" s="6"/>
    </row>
    <row r="178" spans="2:3" ht="15">
      <c r="B178" s="7">
        <v>6</v>
      </c>
      <c r="C178" s="2" t="s">
        <v>59</v>
      </c>
    </row>
    <row r="179" spans="2:3" ht="15">
      <c r="B179" s="6"/>
    </row>
    <row r="180" spans="2:3" ht="15">
      <c r="B180" s="6"/>
      <c r="C180" t="s">
        <v>74</v>
      </c>
    </row>
    <row r="181" spans="2:3" ht="15">
      <c r="B181" s="6"/>
    </row>
    <row r="182" spans="2:3" ht="15">
      <c r="B182" s="7">
        <v>7</v>
      </c>
      <c r="C182" s="2" t="s">
        <v>60</v>
      </c>
    </row>
    <row r="183" spans="2:3" ht="15">
      <c r="B183" s="6"/>
    </row>
    <row r="184" spans="2:3" ht="15">
      <c r="B184" s="6"/>
      <c r="C184" t="s">
        <v>75</v>
      </c>
    </row>
    <row r="185" spans="2:3" ht="15">
      <c r="B185" s="6"/>
      <c r="C185" t="s">
        <v>76</v>
      </c>
    </row>
    <row r="186" spans="2:3" ht="15">
      <c r="B186" s="6"/>
      <c r="C186" t="s">
        <v>77</v>
      </c>
    </row>
    <row r="187" spans="2:3" ht="15">
      <c r="B187" s="6"/>
      <c r="C187" t="s">
        <v>78</v>
      </c>
    </row>
    <row r="188" spans="2:3" ht="15">
      <c r="B188" s="6"/>
    </row>
    <row r="189" spans="2:3" ht="15">
      <c r="B189" s="7">
        <v>8</v>
      </c>
      <c r="C189" s="2" t="s">
        <v>61</v>
      </c>
    </row>
    <row r="190" spans="2:3" ht="15">
      <c r="B190" s="6"/>
    </row>
    <row r="191" spans="2:3" ht="15">
      <c r="B191" s="6"/>
      <c r="C191" t="s">
        <v>117</v>
      </c>
    </row>
    <row r="192" spans="2:3" ht="15">
      <c r="B192" s="6"/>
    </row>
    <row r="193" spans="2:11" ht="15">
      <c r="B193" s="6"/>
      <c r="C193" t="s">
        <v>118</v>
      </c>
      <c r="H193" t="s">
        <v>1</v>
      </c>
      <c r="I193">
        <f>150000+115000+100000+300000+300000-38333-20000-20000-400000-516667</f>
        <v>-30000</v>
      </c>
    </row>
    <row r="194" spans="2:11" ht="15">
      <c r="B194" s="6"/>
    </row>
    <row r="195" spans="2:11" ht="15">
      <c r="B195" s="6"/>
      <c r="C195" t="s">
        <v>112</v>
      </c>
      <c r="E195" t="s">
        <v>116</v>
      </c>
    </row>
    <row r="196" spans="2:11" ht="15">
      <c r="B196" s="6"/>
    </row>
    <row r="197" spans="2:11" ht="15">
      <c r="B197" s="6"/>
      <c r="C197" t="s">
        <v>142</v>
      </c>
    </row>
    <row r="198" spans="2:11" ht="15">
      <c r="B198" s="6"/>
    </row>
    <row r="199" spans="2:11" ht="15">
      <c r="B199" s="7">
        <v>9</v>
      </c>
      <c r="C199" s="2" t="s">
        <v>62</v>
      </c>
    </row>
    <row r="200" spans="2:11" ht="15">
      <c r="B200" s="6"/>
    </row>
    <row r="201" spans="2:11" ht="15">
      <c r="B201" s="6"/>
      <c r="C201" t="s">
        <v>99</v>
      </c>
    </row>
    <row r="202" spans="2:11" ht="15">
      <c r="B202" s="6"/>
    </row>
    <row r="203" spans="2:11" ht="15">
      <c r="B203" s="6"/>
      <c r="C203" t="s">
        <v>100</v>
      </c>
    </row>
    <row r="204" spans="2:11" ht="15">
      <c r="B204" s="6"/>
      <c r="E204" t="s">
        <v>101</v>
      </c>
    </row>
    <row r="205" spans="2:11" ht="15">
      <c r="B205" s="6"/>
      <c r="F205" t="s">
        <v>102</v>
      </c>
      <c r="G205" s="9">
        <f>80000*(1+2+3+4)/(4*(6/12))</f>
        <v>400000</v>
      </c>
      <c r="J205" t="s">
        <v>103</v>
      </c>
    </row>
    <row r="206" spans="2:11" ht="15">
      <c r="B206" s="6"/>
    </row>
    <row r="207" spans="2:11" ht="15">
      <c r="B207" s="6"/>
      <c r="C207" t="s">
        <v>104</v>
      </c>
      <c r="H207" s="5" t="s">
        <v>89</v>
      </c>
      <c r="I207" s="15">
        <v>0</v>
      </c>
      <c r="K207" t="s">
        <v>111</v>
      </c>
    </row>
    <row r="208" spans="2:11" ht="15">
      <c r="B208" s="6"/>
      <c r="H208" s="5" t="s">
        <v>1</v>
      </c>
      <c r="I208" s="9">
        <f>G205</f>
        <v>400000</v>
      </c>
    </row>
    <row r="209" spans="2:12" ht="15">
      <c r="B209" s="6"/>
      <c r="H209" s="5" t="s">
        <v>13</v>
      </c>
      <c r="I209" s="9">
        <f>400000/10*(10-4*(6/12))</f>
        <v>320000</v>
      </c>
      <c r="L209" t="s">
        <v>105</v>
      </c>
    </row>
    <row r="210" spans="2:12" ht="15">
      <c r="B210" s="6"/>
    </row>
    <row r="211" spans="2:12" ht="15">
      <c r="B211" s="6"/>
      <c r="C211" t="s">
        <v>106</v>
      </c>
      <c r="I211" t="s">
        <v>109</v>
      </c>
      <c r="J211" t="s">
        <v>110</v>
      </c>
    </row>
    <row r="212" spans="2:12" ht="15">
      <c r="B212" s="6"/>
      <c r="C212" s="5" t="s">
        <v>1</v>
      </c>
      <c r="D212" t="s">
        <v>108</v>
      </c>
      <c r="F212" s="9">
        <v>0</v>
      </c>
    </row>
    <row r="213" spans="2:12" ht="15">
      <c r="B213" s="6"/>
      <c r="C213" s="5"/>
      <c r="D213" t="s">
        <v>107</v>
      </c>
      <c r="F213" s="9">
        <f>F214-F212</f>
        <v>39200</v>
      </c>
      <c r="G213" t="s">
        <v>29</v>
      </c>
    </row>
    <row r="214" spans="2:12" ht="15">
      <c r="B214" s="6"/>
      <c r="C214" s="5" t="s">
        <v>13</v>
      </c>
      <c r="D214" t="s">
        <v>151</v>
      </c>
      <c r="F214" s="9">
        <f>0.4*(460000-400000*(10-4*(6/12))/10)*0.7</f>
        <v>39200</v>
      </c>
      <c r="J214" t="s">
        <v>137</v>
      </c>
    </row>
    <row r="215" spans="2:12" ht="15">
      <c r="B215" s="6"/>
      <c r="C215" s="5" t="s">
        <v>13</v>
      </c>
      <c r="D215" t="s">
        <v>152</v>
      </c>
      <c r="F215" s="9">
        <f>0.2*(460000-400000*(10-4*(6/12))/10)*0.7</f>
        <v>19600</v>
      </c>
      <c r="J215" t="s">
        <v>150</v>
      </c>
    </row>
    <row r="216" spans="2:12" ht="15">
      <c r="B216" s="6"/>
      <c r="C216" s="5"/>
      <c r="D216" t="s">
        <v>107</v>
      </c>
      <c r="F216" s="9">
        <f>F217-F215</f>
        <v>-16680</v>
      </c>
      <c r="G216" t="s">
        <v>29</v>
      </c>
    </row>
    <row r="217" spans="2:12" ht="15">
      <c r="B217" s="6"/>
      <c r="C217" s="5" t="s">
        <v>20</v>
      </c>
      <c r="D217" t="s">
        <v>19</v>
      </c>
      <c r="F217" s="9">
        <f>0.2*(200000-400000*(8-4*6/12-3*6/12)/10)*0.73</f>
        <v>2920</v>
      </c>
      <c r="J217" t="s">
        <v>157</v>
      </c>
      <c r="L217" t="s">
        <v>158</v>
      </c>
    </row>
    <row r="218" spans="2:12" ht="15">
      <c r="B218" s="6"/>
      <c r="C218" s="5"/>
      <c r="D218" t="s">
        <v>107</v>
      </c>
      <c r="F218" s="9">
        <v>0</v>
      </c>
      <c r="H218" t="s">
        <v>175</v>
      </c>
    </row>
    <row r="219" spans="2:12" ht="15">
      <c r="B219" s="6"/>
      <c r="C219" s="5" t="s">
        <v>174</v>
      </c>
      <c r="D219" t="s">
        <v>19</v>
      </c>
      <c r="F219" s="9">
        <v>0</v>
      </c>
    </row>
    <row r="220" spans="2:12" ht="15">
      <c r="B220" s="6"/>
      <c r="F220" s="9"/>
    </row>
    <row r="221" spans="2:12" ht="15">
      <c r="B221" s="6"/>
      <c r="C221" t="s">
        <v>171</v>
      </c>
      <c r="F221" s="9"/>
    </row>
    <row r="222" spans="2:12" ht="15">
      <c r="B222" s="6"/>
      <c r="F222" s="9"/>
    </row>
    <row r="223" spans="2:12" ht="15">
      <c r="B223" s="6"/>
      <c r="E223" t="s">
        <v>172</v>
      </c>
      <c r="F223" s="9"/>
      <c r="H223" s="9">
        <f>F217/0.2</f>
        <v>14600</v>
      </c>
      <c r="L223" t="s">
        <v>173</v>
      </c>
    </row>
    <row r="224" spans="2:12" ht="15">
      <c r="B224" s="6"/>
      <c r="F224" s="9"/>
    </row>
    <row r="225" spans="2:11" ht="15">
      <c r="B225" s="7">
        <v>10</v>
      </c>
      <c r="C225" s="2" t="s">
        <v>63</v>
      </c>
    </row>
    <row r="226" spans="2:11" ht="15">
      <c r="B226" s="6"/>
      <c r="H226" t="s">
        <v>122</v>
      </c>
      <c r="I226" t="s">
        <v>123</v>
      </c>
    </row>
    <row r="227" spans="2:11" ht="15">
      <c r="B227" s="6"/>
      <c r="C227" s="2" t="s">
        <v>120</v>
      </c>
      <c r="D227" t="s">
        <v>121</v>
      </c>
      <c r="G227" t="s">
        <v>124</v>
      </c>
      <c r="H227" s="9">
        <v>300000</v>
      </c>
      <c r="I227" s="9"/>
    </row>
    <row r="228" spans="2:11" ht="15">
      <c r="B228" s="6"/>
      <c r="G228" t="s">
        <v>125</v>
      </c>
      <c r="H228" s="9"/>
      <c r="I228" s="9">
        <v>100000</v>
      </c>
    </row>
    <row r="229" spans="2:11" ht="15">
      <c r="B229" s="6"/>
      <c r="G229" t="s">
        <v>126</v>
      </c>
      <c r="H229" s="9"/>
      <c r="I229" s="9">
        <v>200000</v>
      </c>
    </row>
    <row r="230" spans="2:11" ht="15">
      <c r="B230" s="6"/>
    </row>
    <row r="231" spans="2:11" ht="15">
      <c r="B231" s="6"/>
      <c r="D231" t="s">
        <v>127</v>
      </c>
    </row>
    <row r="232" spans="2:11" ht="15">
      <c r="B232" s="6"/>
    </row>
    <row r="233" spans="2:11" ht="15">
      <c r="B233" s="6"/>
      <c r="D233" t="s">
        <v>128</v>
      </c>
      <c r="H233" t="s">
        <v>125</v>
      </c>
      <c r="I233" s="9">
        <f>100000+100000</f>
        <v>200000</v>
      </c>
      <c r="K233" t="s">
        <v>129</v>
      </c>
    </row>
    <row r="234" spans="2:11" ht="15">
      <c r="B234" s="6"/>
      <c r="H234" t="s">
        <v>126</v>
      </c>
      <c r="I234" s="9">
        <f>300000+200000</f>
        <v>500000</v>
      </c>
      <c r="K234" t="s">
        <v>130</v>
      </c>
    </row>
    <row r="235" spans="2:11" ht="15">
      <c r="B235" s="6"/>
    </row>
    <row r="236" spans="2:11" ht="15">
      <c r="B236" s="6"/>
      <c r="D236" t="s">
        <v>131</v>
      </c>
    </row>
    <row r="237" spans="2:11" ht="15">
      <c r="B237" s="6"/>
    </row>
    <row r="238" spans="2:11" ht="15">
      <c r="B238" s="6"/>
      <c r="F238" s="5" t="s">
        <v>13</v>
      </c>
      <c r="G238" t="s">
        <v>132</v>
      </c>
      <c r="H238" s="9">
        <f>670000+10000+320000+450000-200000-130000-40000-200000-500000</f>
        <v>380000</v>
      </c>
    </row>
    <row r="239" spans="2:11" ht="15">
      <c r="B239" s="6"/>
    </row>
    <row r="240" spans="2:11" ht="15">
      <c r="B240" s="6"/>
      <c r="D240" t="s">
        <v>133</v>
      </c>
    </row>
    <row r="241" spans="2:13" ht="15">
      <c r="B241" s="6"/>
      <c r="F241" s="5" t="s">
        <v>1</v>
      </c>
      <c r="G241" t="s">
        <v>132</v>
      </c>
      <c r="H241" s="9">
        <v>300000</v>
      </c>
      <c r="I241" t="s">
        <v>134</v>
      </c>
    </row>
    <row r="242" spans="2:13" ht="15">
      <c r="B242" s="6"/>
      <c r="F242" s="5"/>
      <c r="G242" t="s">
        <v>135</v>
      </c>
      <c r="H242" s="9">
        <f>H243-H241</f>
        <v>80000</v>
      </c>
      <c r="I242" s="5" t="s">
        <v>29</v>
      </c>
      <c r="K242" t="s">
        <v>136</v>
      </c>
    </row>
    <row r="243" spans="2:13" ht="15">
      <c r="B243" s="6"/>
      <c r="F243" s="5" t="s">
        <v>13</v>
      </c>
      <c r="G243" t="s">
        <v>132</v>
      </c>
      <c r="H243" s="9">
        <v>380000</v>
      </c>
    </row>
    <row r="244" spans="2:13" ht="15">
      <c r="B244" s="6"/>
    </row>
    <row r="245" spans="2:13" ht="15">
      <c r="B245" s="6"/>
      <c r="C245" s="2" t="s">
        <v>145</v>
      </c>
      <c r="D245" t="s">
        <v>146</v>
      </c>
      <c r="I245" s="3">
        <f>40000/(100000+100000)</f>
        <v>0.2</v>
      </c>
      <c r="M245" t="s">
        <v>147</v>
      </c>
    </row>
    <row r="246" spans="2:13" ht="15">
      <c r="B246" s="6"/>
    </row>
    <row r="247" spans="2:13" ht="15">
      <c r="B247" s="6"/>
      <c r="D247" t="s">
        <v>148</v>
      </c>
    </row>
    <row r="248" spans="2:13" ht="15">
      <c r="B248" s="6"/>
    </row>
    <row r="249" spans="2:13" ht="15">
      <c r="B249" s="7">
        <v>11</v>
      </c>
      <c r="C249" s="2" t="s">
        <v>64</v>
      </c>
    </row>
    <row r="250" spans="2:13" ht="15">
      <c r="B250" s="6"/>
    </row>
    <row r="251" spans="2:13" ht="15">
      <c r="B251" s="6"/>
      <c r="C251" s="5" t="s">
        <v>159</v>
      </c>
      <c r="D251" t="s">
        <v>160</v>
      </c>
      <c r="E251" s="9">
        <f>F69*0.7</f>
        <v>2520</v>
      </c>
      <c r="H251" t="s">
        <v>163</v>
      </c>
    </row>
    <row r="252" spans="2:13" ht="15">
      <c r="B252" s="6"/>
      <c r="C252" s="5"/>
      <c r="D252" t="s">
        <v>161</v>
      </c>
      <c r="E252" s="9">
        <f>E253-E251</f>
        <v>-476</v>
      </c>
      <c r="G252" s="5" t="s">
        <v>29</v>
      </c>
    </row>
    <row r="253" spans="2:13" ht="15">
      <c r="B253" s="6"/>
      <c r="C253" s="5" t="s">
        <v>20</v>
      </c>
      <c r="E253" s="9">
        <f>3600*3.5/4.5*0.73</f>
        <v>2044</v>
      </c>
      <c r="H253" t="s">
        <v>162</v>
      </c>
      <c r="J253" t="s">
        <v>158</v>
      </c>
    </row>
    <row r="254" spans="2:13" ht="15">
      <c r="B254" s="6"/>
    </row>
    <row r="255" spans="2:13" ht="15">
      <c r="B255" s="7">
        <v>12</v>
      </c>
      <c r="C255" s="2" t="s">
        <v>65</v>
      </c>
    </row>
    <row r="256" spans="2:13" ht="15">
      <c r="B256" s="6"/>
    </row>
    <row r="257" spans="2:16" ht="15">
      <c r="B257" s="6"/>
      <c r="C257" t="s">
        <v>167</v>
      </c>
      <c r="H257" s="9">
        <v>60000</v>
      </c>
    </row>
    <row r="258" spans="2:16" ht="15">
      <c r="B258" s="6"/>
      <c r="G258" t="s">
        <v>164</v>
      </c>
      <c r="H258" s="9">
        <v>10000</v>
      </c>
      <c r="I258" t="s">
        <v>168</v>
      </c>
    </row>
    <row r="259" spans="2:16" ht="15">
      <c r="B259" s="6"/>
      <c r="G259" t="s">
        <v>169</v>
      </c>
      <c r="H259" s="9">
        <v>50000</v>
      </c>
      <c r="I259" t="s">
        <v>29</v>
      </c>
    </row>
    <row r="260" spans="2:16" ht="15">
      <c r="B260" s="6"/>
      <c r="H260" s="9"/>
    </row>
    <row r="261" spans="2:16" ht="15">
      <c r="B261" s="7">
        <v>13</v>
      </c>
      <c r="C261" s="2" t="s">
        <v>66</v>
      </c>
      <c r="D261" t="s">
        <v>177</v>
      </c>
      <c r="F261" t="s">
        <v>178</v>
      </c>
      <c r="G261" t="s">
        <v>179</v>
      </c>
    </row>
    <row r="262" spans="2:16" ht="15">
      <c r="B262" s="6"/>
    </row>
    <row r="263" spans="2:16" ht="15">
      <c r="B263" s="6"/>
      <c r="C263" s="5" t="s">
        <v>174</v>
      </c>
      <c r="E263" s="9">
        <v>0</v>
      </c>
      <c r="F263" t="s">
        <v>180</v>
      </c>
    </row>
    <row r="264" spans="2:16" ht="15">
      <c r="B264" s="6"/>
      <c r="C264" s="5"/>
      <c r="D264" t="s">
        <v>107</v>
      </c>
      <c r="E264" s="9">
        <f>E266-E263</f>
        <v>1606</v>
      </c>
      <c r="F264" s="5" t="s">
        <v>29</v>
      </c>
      <c r="K264" t="s">
        <v>25</v>
      </c>
      <c r="M264" s="17">
        <f>M266-M265</f>
        <v>0</v>
      </c>
      <c r="N264" t="s">
        <v>29</v>
      </c>
    </row>
    <row r="265" spans="2:16" ht="15">
      <c r="B265" s="6"/>
      <c r="C265" s="5"/>
      <c r="E265" s="9"/>
      <c r="K265" t="s">
        <v>182</v>
      </c>
      <c r="M265" s="17">
        <f>0.2*(101000-100000*9/10)*0.73</f>
        <v>1606</v>
      </c>
      <c r="P265" t="s">
        <v>181</v>
      </c>
    </row>
    <row r="266" spans="2:16" ht="15">
      <c r="B266" s="6"/>
      <c r="C266" s="5" t="s">
        <v>28</v>
      </c>
      <c r="E266" s="9">
        <f>0.2*(101000-100000*9/10)*0.73</f>
        <v>1606</v>
      </c>
      <c r="I266" t="s">
        <v>181</v>
      </c>
      <c r="K266" t="s">
        <v>183</v>
      </c>
      <c r="M266" s="17">
        <f>E264</f>
        <v>1606</v>
      </c>
    </row>
    <row r="267" spans="2:16" ht="15">
      <c r="B267" s="6"/>
      <c r="C267" s="5"/>
      <c r="E267" s="9"/>
    </row>
    <row r="268" spans="2:16" ht="15">
      <c r="B268" s="6"/>
      <c r="D268" t="s">
        <v>107</v>
      </c>
      <c r="E268" s="9">
        <f>E270-E266</f>
        <v>4234</v>
      </c>
      <c r="F268" s="5" t="s">
        <v>29</v>
      </c>
      <c r="K268" t="s">
        <v>25</v>
      </c>
      <c r="M268" s="17">
        <f>M270-M269</f>
        <v>-178.44444444444434</v>
      </c>
      <c r="N268" t="s">
        <v>29</v>
      </c>
    </row>
    <row r="269" spans="2:16" ht="15">
      <c r="B269" s="6"/>
      <c r="E269" s="9"/>
      <c r="K269" t="s">
        <v>182</v>
      </c>
      <c r="M269" s="9">
        <f>0.2*(120000-101000*8/9)*0.73</f>
        <v>4412.4444444444443</v>
      </c>
      <c r="P269" t="s">
        <v>188</v>
      </c>
    </row>
    <row r="270" spans="2:16" ht="15">
      <c r="B270" s="6"/>
      <c r="C270" t="s">
        <v>186</v>
      </c>
      <c r="E270">
        <f>0.2*(120000-100000*8/10)*0.73</f>
        <v>5840</v>
      </c>
      <c r="I270" t="s">
        <v>187</v>
      </c>
      <c r="K270" t="s">
        <v>183</v>
      </c>
      <c r="M270" s="17">
        <f>E268</f>
        <v>4234</v>
      </c>
    </row>
    <row r="271" spans="2:16" ht="15">
      <c r="B271" s="6"/>
      <c r="E271" s="9"/>
    </row>
    <row r="272" spans="2:16" ht="15">
      <c r="B272" s="6"/>
      <c r="C272" t="s">
        <v>189</v>
      </c>
      <c r="H272" s="9">
        <f>M266/9*-1</f>
        <v>-178.44444444444446</v>
      </c>
    </row>
    <row r="273" spans="2:16" ht="15">
      <c r="B273" s="6"/>
    </row>
    <row r="274" spans="2:16" ht="15">
      <c r="B274" s="6"/>
      <c r="C274" t="s">
        <v>190</v>
      </c>
      <c r="M274" s="9">
        <f>E270/0.2</f>
        <v>29200</v>
      </c>
      <c r="P274" t="s">
        <v>191</v>
      </c>
    </row>
    <row r="275" spans="2:16" ht="15">
      <c r="B275" s="6"/>
    </row>
    <row r="276" spans="2:16" ht="15">
      <c r="B276" s="6"/>
      <c r="C276" t="s">
        <v>192</v>
      </c>
    </row>
    <row r="277" spans="2:16" ht="15">
      <c r="B277" s="6"/>
    </row>
    <row r="278" spans="2:16" ht="15">
      <c r="B278" s="6"/>
    </row>
    <row r="279" spans="2:16" ht="15">
      <c r="B279" s="6"/>
    </row>
    <row r="280" spans="2:16" ht="15">
      <c r="B280" s="6"/>
    </row>
    <row r="281" spans="2:16" ht="15">
      <c r="B281" s="6"/>
    </row>
    <row r="282" spans="2:16" ht="15">
      <c r="B282" s="6"/>
    </row>
    <row r="283" spans="2:16" ht="15">
      <c r="B283" s="6"/>
    </row>
    <row r="284" spans="2:16" ht="15">
      <c r="B284" s="6"/>
    </row>
    <row r="285" spans="2:16" ht="15">
      <c r="B285" s="6"/>
    </row>
    <row r="286" spans="2:16" ht="15">
      <c r="B286" s="6"/>
    </row>
    <row r="287" spans="2:16" ht="15">
      <c r="B287" s="6"/>
    </row>
    <row r="288" spans="2:16" ht="15">
      <c r="B288" s="6"/>
    </row>
    <row r="289" spans="2:2" ht="15">
      <c r="B289" s="6"/>
    </row>
    <row r="290" spans="2:2" ht="15">
      <c r="B290" s="6"/>
    </row>
    <row r="291" spans="2:2" ht="15">
      <c r="B291" s="6"/>
    </row>
    <row r="292" spans="2:2" ht="15">
      <c r="B292" s="6"/>
    </row>
    <row r="293" spans="2:2" ht="15">
      <c r="B293" s="6"/>
    </row>
    <row r="294" spans="2:2" ht="15">
      <c r="B294" s="6"/>
    </row>
    <row r="295" spans="2:2" ht="15">
      <c r="B295" s="6"/>
    </row>
    <row r="296" spans="2:2" ht="15">
      <c r="B296" s="6"/>
    </row>
    <row r="297" spans="2:2" ht="15">
      <c r="B297" s="6"/>
    </row>
    <row r="298" spans="2:2" ht="15">
      <c r="B29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פתרון 1</vt:lpstr>
      <vt:lpstr>פתרון 2</vt:lpstr>
      <vt:lpstr>פתרון 3</vt:lpstr>
      <vt:lpstr>שאלה 4</vt:lpstr>
      <vt:lpstr>'פתרון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MAAYAN</cp:lastModifiedBy>
  <cp:lastPrinted>2012-03-14T20:05:39Z</cp:lastPrinted>
  <dcterms:created xsi:type="dcterms:W3CDTF">2011-12-21T15:48:00Z</dcterms:created>
  <dcterms:modified xsi:type="dcterms:W3CDTF">2013-12-30T22:22:13Z</dcterms:modified>
</cp:coreProperties>
</file>