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2225" windowHeight="7485" activeTab="3"/>
  </bookViews>
  <sheets>
    <sheet name="פתרון 1" sheetId="7" r:id="rId1"/>
    <sheet name="פתרון 2" sheetId="5" r:id="rId2"/>
    <sheet name="פתרון 3" sheetId="4" r:id="rId3"/>
    <sheet name="פתרון 4" sheetId="6" r:id="rId4"/>
  </sheets>
  <definedNames>
    <definedName name="_xlnm.Print_Area" localSheetId="3">'פתרון 4'!#REF!</definedName>
  </definedNames>
  <calcPr calcId="125725"/>
</workbook>
</file>

<file path=xl/calcChain.xml><?xml version="1.0" encoding="utf-8"?>
<calcChain xmlns="http://schemas.openxmlformats.org/spreadsheetml/2006/main">
  <c r="M96" i="6"/>
  <c r="I214" i="5"/>
  <c r="I173"/>
  <c r="F49"/>
  <c r="F46"/>
  <c r="I172"/>
  <c r="I170"/>
  <c r="F47" l="1"/>
  <c r="E7" i="7"/>
  <c r="E9"/>
  <c r="E10"/>
  <c r="E13"/>
  <c r="E16"/>
  <c r="E17"/>
  <c r="E19"/>
  <c r="E24"/>
  <c r="F41"/>
  <c r="D41" s="1"/>
  <c r="D51"/>
  <c r="D53"/>
  <c r="D55"/>
  <c r="D56"/>
  <c r="D57"/>
  <c r="D58"/>
  <c r="D59"/>
  <c r="D67"/>
  <c r="D68"/>
  <c r="D70"/>
  <c r="D71"/>
  <c r="D72"/>
  <c r="E20" s="1"/>
  <c r="E27" s="1"/>
  <c r="E29" s="1"/>
  <c r="E31" s="1"/>
  <c r="C144" s="1"/>
  <c r="D79"/>
  <c r="E79"/>
  <c r="D81"/>
  <c r="C36" s="1"/>
  <c r="E81"/>
  <c r="F36" s="1"/>
  <c r="E87"/>
  <c r="D88"/>
  <c r="E88"/>
  <c r="D90"/>
  <c r="C37" s="1"/>
  <c r="E90"/>
  <c r="F37" s="1"/>
  <c r="D93"/>
  <c r="E37" s="1"/>
  <c r="E43" s="1"/>
  <c r="D94"/>
  <c r="D102"/>
  <c r="E102"/>
  <c r="D103"/>
  <c r="E103"/>
  <c r="D105"/>
  <c r="C38" s="1"/>
  <c r="E105"/>
  <c r="F38" s="1"/>
  <c r="D38" s="1"/>
  <c r="E112"/>
  <c r="E114"/>
  <c r="F39" s="1"/>
  <c r="D117"/>
  <c r="D118"/>
  <c r="D119"/>
  <c r="D110" s="1"/>
  <c r="D112" s="1"/>
  <c r="D114" s="1"/>
  <c r="C39" s="1"/>
  <c r="E124"/>
  <c r="D125"/>
  <c r="E125"/>
  <c r="D126"/>
  <c r="E126"/>
  <c r="D128"/>
  <c r="C40" s="1"/>
  <c r="E128"/>
  <c r="F40" s="1"/>
  <c r="D40" s="1"/>
  <c r="D130"/>
  <c r="D137"/>
  <c r="E137"/>
  <c r="D139"/>
  <c r="C42" s="1"/>
  <c r="E139"/>
  <c r="F42" s="1"/>
  <c r="D42" s="1"/>
  <c r="L135" i="6"/>
  <c r="L131"/>
  <c r="L130"/>
  <c r="L132" s="1"/>
  <c r="D34" s="1"/>
  <c r="L127"/>
  <c r="O119"/>
  <c r="O120" s="1"/>
  <c r="M95"/>
  <c r="D26" s="1"/>
  <c r="L87"/>
  <c r="L86"/>
  <c r="L88" s="1"/>
  <c r="D24" s="1"/>
  <c r="L83"/>
  <c r="L125" s="1"/>
  <c r="L126" s="1"/>
  <c r="P57"/>
  <c r="L51"/>
  <c r="L45"/>
  <c r="L38"/>
  <c r="L39" s="1"/>
  <c r="D12" s="1"/>
  <c r="D41" s="1"/>
  <c r="L41"/>
  <c r="D13"/>
  <c r="D43"/>
  <c r="L37"/>
  <c r="L34"/>
  <c r="L81" s="1"/>
  <c r="L82" s="1"/>
  <c r="L26"/>
  <c r="L27" s="1"/>
  <c r="L24"/>
  <c r="L25" s="1"/>
  <c r="L49"/>
  <c r="L50"/>
  <c r="L23"/>
  <c r="L48"/>
  <c r="L19"/>
  <c r="L32"/>
  <c r="L33"/>
  <c r="D17"/>
  <c r="D14"/>
  <c r="L13"/>
  <c r="L14"/>
  <c r="D10"/>
  <c r="D9"/>
  <c r="D7"/>
  <c r="E2"/>
  <c r="M137" s="1"/>
  <c r="D2"/>
  <c r="D18"/>
  <c r="C2"/>
  <c r="M62"/>
  <c r="E289" i="5"/>
  <c r="E278"/>
  <c r="E275"/>
  <c r="E276"/>
  <c r="E273"/>
  <c r="E274" s="1"/>
  <c r="E271"/>
  <c r="E272"/>
  <c r="E269"/>
  <c r="E270" s="1"/>
  <c r="D255"/>
  <c r="D240"/>
  <c r="D238"/>
  <c r="D236"/>
  <c r="I210"/>
  <c r="E207"/>
  <c r="I207"/>
  <c r="F33"/>
  <c r="E205"/>
  <c r="E202"/>
  <c r="E203" s="1"/>
  <c r="E186"/>
  <c r="E187"/>
  <c r="E183"/>
  <c r="E264" s="1"/>
  <c r="E181"/>
  <c r="E182"/>
  <c r="F17"/>
  <c r="E170"/>
  <c r="E111" s="1"/>
  <c r="F112" s="1"/>
  <c r="I169"/>
  <c r="E169"/>
  <c r="I166"/>
  <c r="E162"/>
  <c r="E165" s="1"/>
  <c r="E167" s="1"/>
  <c r="E172" s="1"/>
  <c r="E174" s="1"/>
  <c r="I162"/>
  <c r="L152"/>
  <c r="J152"/>
  <c r="L150"/>
  <c r="L151"/>
  <c r="E150"/>
  <c r="E151" s="1"/>
  <c r="J151" s="1"/>
  <c r="E148"/>
  <c r="E149"/>
  <c r="E146"/>
  <c r="E147" s="1"/>
  <c r="E144"/>
  <c r="E145"/>
  <c r="E142"/>
  <c r="E143" s="1"/>
  <c r="E153" s="1"/>
  <c r="D133" s="1"/>
  <c r="D132" s="1"/>
  <c r="F138" s="1"/>
  <c r="F136" s="1"/>
  <c r="E261" s="1"/>
  <c r="F137"/>
  <c r="G124"/>
  <c r="G125" s="1"/>
  <c r="G126" s="1"/>
  <c r="F124"/>
  <c r="F125" s="1"/>
  <c r="F126" s="1"/>
  <c r="D126" s="1"/>
  <c r="D124"/>
  <c r="D123"/>
  <c r="E108"/>
  <c r="F109"/>
  <c r="F96"/>
  <c r="F97"/>
  <c r="F91"/>
  <c r="F83"/>
  <c r="E294"/>
  <c r="E295"/>
  <c r="F78"/>
  <c r="F72"/>
  <c r="F85"/>
  <c r="E296"/>
  <c r="F98"/>
  <c r="F70"/>
  <c r="F71"/>
  <c r="F66"/>
  <c r="F67"/>
  <c r="F62"/>
  <c r="I163"/>
  <c r="F35"/>
  <c r="F57"/>
  <c r="F44"/>
  <c r="F41"/>
  <c r="F31"/>
  <c r="F27"/>
  <c r="F25"/>
  <c r="F10"/>
  <c r="L15" i="6"/>
  <c r="L110"/>
  <c r="L20"/>
  <c r="L8"/>
  <c r="M63"/>
  <c r="M74" s="1"/>
  <c r="D21" s="1"/>
  <c r="L90"/>
  <c r="D25"/>
  <c r="L111"/>
  <c r="M119"/>
  <c r="L134"/>
  <c r="D35"/>
  <c r="L52"/>
  <c r="M75"/>
  <c r="N45"/>
  <c r="Q72"/>
  <c r="E263" i="5"/>
  <c r="E265"/>
  <c r="D254"/>
  <c r="D256"/>
  <c r="D257"/>
  <c r="E280"/>
  <c r="E279"/>
  <c r="F22"/>
  <c r="I203"/>
  <c r="I165"/>
  <c r="I167"/>
  <c r="E114"/>
  <c r="F115" s="1"/>
  <c r="F34"/>
  <c r="F192"/>
  <c r="F32"/>
  <c r="E209"/>
  <c r="E211"/>
  <c r="E213"/>
  <c r="F48"/>
  <c r="F51" s="1"/>
  <c r="F28"/>
  <c r="F63"/>
  <c r="F64"/>
  <c r="F68"/>
  <c r="L144"/>
  <c r="L148"/>
  <c r="F59"/>
  <c r="D125"/>
  <c r="J150"/>
  <c r="F16"/>
  <c r="F84"/>
  <c r="E43" i="6"/>
  <c r="M120"/>
  <c r="M100"/>
  <c r="O100"/>
  <c r="M76"/>
  <c r="M71"/>
  <c r="D6"/>
  <c r="D15"/>
  <c r="L7"/>
  <c r="L9"/>
  <c r="L29"/>
  <c r="L28"/>
  <c r="F69" i="5"/>
  <c r="F30"/>
  <c r="F81"/>
  <c r="I205"/>
  <c r="I209"/>
  <c r="I211"/>
  <c r="F18"/>
  <c r="F193"/>
  <c r="F194"/>
  <c r="F65"/>
  <c r="F73"/>
  <c r="F75"/>
  <c r="F29"/>
  <c r="L149"/>
  <c r="J149"/>
  <c r="J148"/>
  <c r="F14"/>
  <c r="L145"/>
  <c r="J145"/>
  <c r="J144"/>
  <c r="F13"/>
  <c r="M65" i="6"/>
  <c r="M66"/>
  <c r="M78"/>
  <c r="L53"/>
  <c r="L57"/>
  <c r="M105"/>
  <c r="M77"/>
  <c r="D20"/>
  <c r="E292" i="5"/>
  <c r="F82"/>
  <c r="F86"/>
  <c r="F88"/>
  <c r="M106" i="6"/>
  <c r="D32"/>
  <c r="M142"/>
  <c r="M143"/>
  <c r="L58"/>
  <c r="L59"/>
  <c r="D16"/>
  <c r="M73"/>
  <c r="M70" s="1"/>
  <c r="Q71" s="1"/>
  <c r="D22"/>
  <c r="E293" i="5"/>
  <c r="F94"/>
  <c r="F43"/>
  <c r="E297"/>
  <c r="E299"/>
  <c r="F39"/>
  <c r="F95"/>
  <c r="F99"/>
  <c r="F101"/>
  <c r="C311" i="4"/>
  <c r="C313" s="1"/>
  <c r="C293"/>
  <c r="C297"/>
  <c r="C282"/>
  <c r="C270"/>
  <c r="C259"/>
  <c r="C261" s="1"/>
  <c r="C244"/>
  <c r="C228"/>
  <c r="C232"/>
  <c r="E208"/>
  <c r="C203"/>
  <c r="C219"/>
  <c r="C221"/>
  <c r="C191"/>
  <c r="C189"/>
  <c r="C181"/>
  <c r="D168"/>
  <c r="D170"/>
  <c r="D164"/>
  <c r="D166" s="1"/>
  <c r="D160"/>
  <c r="D162"/>
  <c r="H154"/>
  <c r="D153"/>
  <c r="D151"/>
  <c r="D155" s="1"/>
  <c r="D173" s="1"/>
  <c r="D172" s="1"/>
  <c r="B77" s="1"/>
  <c r="B101" s="1"/>
  <c r="B121" s="1"/>
  <c r="C145"/>
  <c r="C141"/>
  <c r="C143" s="1"/>
  <c r="C139"/>
  <c r="B113"/>
  <c r="B115" s="1"/>
  <c r="B124" s="1"/>
  <c r="B126" s="1"/>
  <c r="B97"/>
  <c r="B99" s="1"/>
  <c r="B93"/>
  <c r="B95" s="1"/>
  <c r="B102" s="1"/>
  <c r="B104" s="1"/>
  <c r="B87"/>
  <c r="B85"/>
  <c r="B89"/>
  <c r="B73"/>
  <c r="B69"/>
  <c r="B64"/>
  <c r="B62"/>
  <c r="B65" s="1"/>
  <c r="H56"/>
  <c r="C54"/>
  <c r="C50"/>
  <c r="C44"/>
  <c r="C42"/>
  <c r="C38"/>
  <c r="H36"/>
  <c r="H52" s="1"/>
  <c r="C34"/>
  <c r="C32"/>
  <c r="H26"/>
  <c r="H32" s="1"/>
  <c r="C26"/>
  <c r="C24"/>
  <c r="C18"/>
  <c r="C16"/>
  <c r="C14"/>
  <c r="C40"/>
  <c r="C52"/>
  <c r="C12"/>
  <c r="C10"/>
  <c r="C8"/>
  <c r="C4"/>
  <c r="C6" s="1"/>
  <c r="B71"/>
  <c r="C204"/>
  <c r="C20"/>
  <c r="C28"/>
  <c r="Q73" i="6" l="1"/>
  <c r="M99"/>
  <c r="D27"/>
  <c r="D29" s="1"/>
  <c r="B75" i="4"/>
  <c r="B78" s="1"/>
  <c r="B80" s="1"/>
  <c r="C80" s="1"/>
  <c r="D39" i="7"/>
  <c r="D37"/>
  <c r="D36"/>
  <c r="D43" s="1"/>
  <c r="C145" s="1"/>
  <c r="F43"/>
  <c r="C43"/>
  <c r="D54" s="1"/>
  <c r="D61" s="1"/>
  <c r="C147"/>
  <c r="L142" i="5"/>
  <c r="L146"/>
  <c r="D30" i="6"/>
  <c r="E41" s="1"/>
  <c r="D36"/>
  <c r="L46"/>
  <c r="L54" s="1"/>
  <c r="L147" i="5" l="1"/>
  <c r="J147" s="1"/>
  <c r="J146"/>
  <c r="F15" s="1"/>
  <c r="J142"/>
  <c r="L143"/>
  <c r="J143" s="1"/>
  <c r="L153"/>
  <c r="J153" s="1"/>
  <c r="D37" i="6"/>
  <c r="M107"/>
  <c r="O99"/>
  <c r="C246" i="4"/>
  <c r="C248" s="1"/>
  <c r="C30" s="1"/>
  <c r="C36" s="1"/>
  <c r="C46" l="1"/>
  <c r="C104"/>
  <c r="O101" i="6"/>
  <c r="O114"/>
  <c r="M138" s="1"/>
  <c r="F12" i="5"/>
  <c r="F20" s="1"/>
  <c r="F23" s="1"/>
  <c r="F37" s="1"/>
  <c r="F38" s="1"/>
  <c r="P115" i="6" l="1"/>
  <c r="L114"/>
  <c r="L115"/>
  <c r="C48" i="4"/>
  <c r="C285" s="1"/>
  <c r="C286" s="1"/>
  <c r="C56"/>
  <c r="C126" s="1"/>
  <c r="M116" i="6" l="1"/>
  <c r="M117" s="1"/>
  <c r="O115"/>
  <c r="M122" l="1"/>
  <c r="M121"/>
  <c r="M141" s="1"/>
  <c r="M144" s="1"/>
  <c r="O144" s="1"/>
  <c r="P144" s="1"/>
</calcChain>
</file>

<file path=xl/sharedStrings.xml><?xml version="1.0" encoding="utf-8"?>
<sst xmlns="http://schemas.openxmlformats.org/spreadsheetml/2006/main" count="895" uniqueCount="570">
  <si>
    <t>נדרש א' - דוח התאמה למס הכנסה לשנת 2011</t>
  </si>
  <si>
    <t>רווח חשבונאי לפני מיסים</t>
  </si>
  <si>
    <t>הוסף</t>
  </si>
  <si>
    <t>פחת קו ייצור בספרים</t>
  </si>
  <si>
    <t>6,000,000/15=</t>
  </si>
  <si>
    <t>הוצאות מחקר ופיתוח בספרים</t>
  </si>
  <si>
    <t>פחת מבנה בספרים</t>
  </si>
  <si>
    <t>0.7*30,000,000/23*3/12=</t>
  </si>
  <si>
    <t>פחת ציוד בספרים</t>
  </si>
  <si>
    <t>הפסד מירידת ערך מלאי בספרים</t>
  </si>
  <si>
    <t>תרומות למוסדות מוכרים (*)</t>
  </si>
  <si>
    <t>סה"כ תוספות</t>
  </si>
  <si>
    <t>הפחת</t>
  </si>
  <si>
    <t>פחת קו ייצור למס הכנסה (לפני ניכוי נוסף)</t>
  </si>
  <si>
    <t>6,000,000/10=</t>
  </si>
  <si>
    <t>ניכוי נוסף בגין פחת קו ייצור</t>
  </si>
  <si>
    <t>600,000*20%=</t>
  </si>
  <si>
    <t>הוצאות הנפקה</t>
  </si>
  <si>
    <t>90,000/3=</t>
  </si>
  <si>
    <t>הוצאות מחקר ופיתוח למס הכנסה</t>
  </si>
  <si>
    <t>(200,000+500,000)/3=</t>
  </si>
  <si>
    <t>הכנסות שכירות בספרים</t>
  </si>
  <si>
    <t>ראה חישוב מספר 1</t>
  </si>
  <si>
    <t>רווח מעליית ערך נדל"ן להשקעה</t>
  </si>
  <si>
    <t>30,000,000-24,000,000=</t>
  </si>
  <si>
    <t>פחת מבנה למס הכנסה</t>
  </si>
  <si>
    <t>70%*15,000,000/25</t>
  </si>
  <si>
    <t>הכנסות מדיבידנד</t>
  </si>
  <si>
    <t>פחת ציוד למס הכנסה</t>
  </si>
  <si>
    <t>ירידה בהפרשה לאחריות</t>
  </si>
  <si>
    <t>400,000-300,000=</t>
  </si>
  <si>
    <t>הפסדים מועברים משנים קודמות</t>
  </si>
  <si>
    <t>סה"כ הפחתות</t>
  </si>
  <si>
    <t>הכנסה חייבת בשיעור 20%</t>
  </si>
  <si>
    <t>חבות המס השוטפת בגין שנת 2011</t>
  </si>
  <si>
    <t>נדרש ב' - חישוב יתרות מיסים נדחים</t>
  </si>
  <si>
    <t>שינוי שנזקף להוצאות מיסים</t>
  </si>
  <si>
    <t>שינוי שנזקף להון העצמי</t>
  </si>
  <si>
    <t>קו ייצור</t>
  </si>
  <si>
    <t>הוצאות מחקר ופיתוח</t>
  </si>
  <si>
    <t>שכר דירה מראש (לקבל)</t>
  </si>
  <si>
    <t>נדל"ן</t>
  </si>
  <si>
    <t>מלאי</t>
  </si>
  <si>
    <t>הפרשה לאחריות</t>
  </si>
  <si>
    <t>חישוב מספר</t>
  </si>
  <si>
    <t>נדרש ג' ביאור מס תיאורטי</t>
  </si>
  <si>
    <t>שיעור מס סטטוטורי</t>
  </si>
  <si>
    <t>סכום המס לפי שיעור המס הסטטוטורי</t>
  </si>
  <si>
    <t>ניכוי נוסף בגין פחת</t>
  </si>
  <si>
    <t>חישוב סך הוצאות המיסים בספרים:</t>
  </si>
  <si>
    <t>מיסים שוטפים</t>
  </si>
  <si>
    <t>מיסים נדחים</t>
  </si>
  <si>
    <t>סה"כ</t>
  </si>
  <si>
    <t>מיסים בגין שנים קודמות</t>
  </si>
  <si>
    <t>120,000*0.2=</t>
  </si>
  <si>
    <t>השפעת שינוים בשיעור המס על מיסים נדחים</t>
  </si>
  <si>
    <t>2,163,542/0.25*(0.25-0.2)=</t>
  </si>
  <si>
    <t>הכנסות מדיבידנדים</t>
  </si>
  <si>
    <t>250,000*0.2=</t>
  </si>
  <si>
    <t>הפרשי פחת בגין ציוד</t>
  </si>
  <si>
    <t>זיכוי בגין תרומות</t>
  </si>
  <si>
    <t>הפסד מועבר שנוצל ולא הוכרו בגינו מיסים נדחים</t>
  </si>
  <si>
    <t>1,000,000*0.2=</t>
  </si>
  <si>
    <t>הוצאות המיסים בספרים</t>
  </si>
  <si>
    <t>חישובי עזר</t>
  </si>
  <si>
    <t>1. הכנסות דמי שכירות בשנת 2011</t>
  </si>
  <si>
    <t>דמי שכירות עבור 3 שנים:</t>
  </si>
  <si>
    <t>500,000+650,000+800,000=</t>
  </si>
  <si>
    <t>דמי שכירות ממוצעים לשנה אחת</t>
  </si>
  <si>
    <t>1,950,000/3=</t>
  </si>
  <si>
    <t>הכנסה שיש להכיר במצטבר עד ליום 1/10/11</t>
  </si>
  <si>
    <t>500,000+650,000+400,000=</t>
  </si>
  <si>
    <t>הכנסה שהוכרה עד ליום 31/12/2010</t>
  </si>
  <si>
    <t>650,000*1.25=</t>
  </si>
  <si>
    <t>הכנסות דמי שכירות בשנת 2011</t>
  </si>
  <si>
    <t>2. קו ייצור</t>
  </si>
  <si>
    <t>נכס בספרים</t>
  </si>
  <si>
    <t>נכס למס הכנסה</t>
  </si>
  <si>
    <t>הפרש זמני חייב במס (ניתן לניכוי)</t>
  </si>
  <si>
    <t xml:space="preserve">שיעור המס </t>
  </si>
  <si>
    <t>יתרת מס נדחה בחובה (בזכות)</t>
  </si>
  <si>
    <t>6,000,000*14/15=</t>
  </si>
  <si>
    <t>6,000,000*9/10=</t>
  </si>
  <si>
    <t>3. הוצאות הנפקה</t>
  </si>
  <si>
    <t>90,000*2/3=</t>
  </si>
  <si>
    <t>השינוי מורכב מ:</t>
  </si>
  <si>
    <t>יצירה (כנגד פרמיה)</t>
  </si>
  <si>
    <t>סגירה (כנגד הוצאות מיסים)</t>
  </si>
  <si>
    <t>לחילופין ניתן לזקוף את כל השינוי לפרמיה, ובחבות המס השוטפת לזקוף את הטבת המס השנה בגין הוצאות ההנפקה לפרמיה במקום למיסים שוטפים ברווח והפסד</t>
  </si>
  <si>
    <t>4. הוצאות מחקר ופיתוח</t>
  </si>
  <si>
    <t>(200,000/3+500,000*2/3)=</t>
  </si>
  <si>
    <t>5. דמי שכירות מראש/לקבל</t>
  </si>
  <si>
    <t xml:space="preserve">הכנסות מראש ליום 31/12/2010 - </t>
  </si>
  <si>
    <t>הכנסה שהוכרה במצטבר</t>
  </si>
  <si>
    <t>תקבולים</t>
  </si>
  <si>
    <t>500,000+650,000=</t>
  </si>
  <si>
    <t>נכס (התחייבות) בספרים</t>
  </si>
  <si>
    <t>למס הכנסה</t>
  </si>
  <si>
    <t>6. נדל"ן</t>
  </si>
  <si>
    <t>30,000,000-228,261=</t>
  </si>
  <si>
    <t>נכס למס הכנסה ליום 31/12/2010</t>
  </si>
  <si>
    <t>15000000*(0.3+0.7*23.75/25)=</t>
  </si>
  <si>
    <t>14,475,000-420,000=</t>
  </si>
  <si>
    <t>1,000,000*20%=</t>
  </si>
  <si>
    <t>7. הפרשה לאחריות</t>
  </si>
  <si>
    <t>התחייבות בספרים</t>
  </si>
  <si>
    <t>8. חישוב הוצאות המיסים בספרים</t>
  </si>
  <si>
    <t>ראה חישוב 8</t>
  </si>
  <si>
    <t>תנועה בחשבון השקעה</t>
  </si>
  <si>
    <t>השקעה במניות רגילות</t>
  </si>
  <si>
    <t>השקעה במניות בכורה</t>
  </si>
  <si>
    <t>1.5.2012</t>
  </si>
  <si>
    <t>עלות</t>
  </si>
  <si>
    <t>80,000*12%*10=</t>
  </si>
  <si>
    <t>רווח מני"ע</t>
  </si>
  <si>
    <t>30.9.2012</t>
  </si>
  <si>
    <t>יתרה דקה לפני (1)</t>
  </si>
  <si>
    <t>9,600*15=</t>
  </si>
  <si>
    <t>1.10.2012</t>
  </si>
  <si>
    <t>עלות (2)</t>
  </si>
  <si>
    <t>125,000*0.45=</t>
  </si>
  <si>
    <t>רווחי אקוויטי (3) 10-12/12</t>
  </si>
  <si>
    <t>33,750*0.75/3.5*3/12=</t>
  </si>
  <si>
    <t>הפחתת ע"ע רשימת לקוחות</t>
  </si>
  <si>
    <t>11,250*0.75=</t>
  </si>
  <si>
    <t>הפחתת ע"ע נכס מ.למכירה (4)</t>
  </si>
  <si>
    <t>20,000*0.75*0.45=</t>
  </si>
  <si>
    <t>התאמת הסתייגות הת' לעובדים</t>
  </si>
  <si>
    <t>31.12.2012</t>
  </si>
  <si>
    <t>יתרה</t>
  </si>
  <si>
    <t>הנפקת מניות הטבה (5)</t>
  </si>
  <si>
    <t>(175,000-(25,000+150,000*0.08*6/12))*0.45=</t>
  </si>
  <si>
    <t>רווחי אקוויטי 2013 (6)</t>
  </si>
  <si>
    <t>50,000*0.45=</t>
  </si>
  <si>
    <t>200,000*0.25=</t>
  </si>
  <si>
    <t>1.7.2013</t>
  </si>
  <si>
    <t>הנפקת מ"ב - רווח הון</t>
  </si>
  <si>
    <t>רכישה</t>
  </si>
  <si>
    <t>1,808*4=</t>
  </si>
  <si>
    <t>הפחתת ע"ע תביעה משפטית (7)</t>
  </si>
  <si>
    <t>15,000*0.75*0.45=</t>
  </si>
  <si>
    <t>עליית ערך</t>
  </si>
  <si>
    <t>30.9.2013</t>
  </si>
  <si>
    <t>דיבידנד (8)</t>
  </si>
  <si>
    <t>22,000*0.45=</t>
  </si>
  <si>
    <t>150,000*0.25*2=</t>
  </si>
  <si>
    <t>31.12.2013</t>
  </si>
  <si>
    <t>(50,000-3,000)*0.45=</t>
  </si>
  <si>
    <t>רווחי אקוויטי 1-3/14 (9)</t>
  </si>
  <si>
    <t>6,750*0.75=</t>
  </si>
  <si>
    <t>הפחתת ע"ע תביעה משפטית (10)</t>
  </si>
  <si>
    <t>35,000*0.75*0.45=</t>
  </si>
  <si>
    <t>31.3.2014</t>
  </si>
  <si>
    <t>0.1/0.4*1,024,827=</t>
  </si>
  <si>
    <t>גריעה (11)</t>
  </si>
  <si>
    <t>(100,000-9,000)*0.35=</t>
  </si>
  <si>
    <t>רווחי אקוויטי 7-12/14 (12)</t>
  </si>
  <si>
    <t>1,808*3*0.35/0.45=</t>
  </si>
  <si>
    <t>35,000*0.35=</t>
  </si>
  <si>
    <t>31.12.2014</t>
  </si>
  <si>
    <t>דיבידנד (13)</t>
  </si>
  <si>
    <t>150,000*0.25*3=</t>
  </si>
  <si>
    <t>הרכב חשבון השקעה 31.12.2012</t>
  </si>
  <si>
    <t>0.45*1,295,000=</t>
  </si>
  <si>
    <t>חלק בשווי מאזני</t>
  </si>
  <si>
    <t>180,000*0.75*0.45=</t>
  </si>
  <si>
    <t>הסתייגות</t>
  </si>
  <si>
    <t>יתרת עודף עלות</t>
  </si>
  <si>
    <t>33,750*3.25/3.5=</t>
  </si>
  <si>
    <t>רשימת לקוחות</t>
  </si>
  <si>
    <t>31,339*0.25=</t>
  </si>
  <si>
    <t>מס נדחה</t>
  </si>
  <si>
    <t>תביעה משפטית</t>
  </si>
  <si>
    <t>מוניטין</t>
  </si>
  <si>
    <t>הרכב חשבון השקעה 31.12.2013</t>
  </si>
  <si>
    <t>0.45*(1,620,000-153,000)=</t>
  </si>
  <si>
    <t>195,000*0.75*0.45=</t>
  </si>
  <si>
    <t>33,750*2.25/3.5=</t>
  </si>
  <si>
    <t>21,696*0.25=</t>
  </si>
  <si>
    <t>15,000*0.45=</t>
  </si>
  <si>
    <t>6,750*0.25=</t>
  </si>
  <si>
    <t>הרכב חשבון השקעה 31.12.2014</t>
  </si>
  <si>
    <t xml:space="preserve"> 0.35*(1,720,000-160,000*0.75-150,000)= </t>
  </si>
  <si>
    <t xml:space="preserve"> 33,750*1.25/3.5*0.35/0.45= </t>
  </si>
  <si>
    <t xml:space="preserve"> 9,375*0.25= </t>
  </si>
  <si>
    <t xml:space="preserve"> 383,063*0.35/0.45= </t>
  </si>
  <si>
    <t>ביאורים:</t>
  </si>
  <si>
    <t>(1)</t>
  </si>
  <si>
    <t>שווי הוגן השקעה לפי IAS39</t>
  </si>
  <si>
    <t>נתון כי מחיר ההנפקה מייצג את השווי ההוגן, נמצא את תמורת ההנפקה</t>
  </si>
  <si>
    <t>הון מניות ופרמיה מ"ר לפני</t>
  </si>
  <si>
    <t>הון מניות ופרמיה מ"ר אחרי</t>
  </si>
  <si>
    <t>תמורת הנפקה</t>
  </si>
  <si>
    <t>750,000/50,000=</t>
  </si>
  <si>
    <t>מחיר למניה</t>
  </si>
  <si>
    <t>(2)</t>
  </si>
  <si>
    <t>חישוב עודף עלות 1.10.2012</t>
  </si>
  <si>
    <t>750,000*0.978+144,000=</t>
  </si>
  <si>
    <t>מציאת אחוז החזקה</t>
  </si>
  <si>
    <t>תמורה</t>
  </si>
  <si>
    <t>45%*(1,170,000-160,000*0.75)=</t>
  </si>
  <si>
    <t>(9,600+50,000*0.978)/130,000=</t>
  </si>
  <si>
    <t>שווי מאזני נרכש</t>
  </si>
  <si>
    <t>עודף עלות</t>
  </si>
  <si>
    <t>ייחוס עודף עלות</t>
  </si>
  <si>
    <t>0.45*(90,000-90,000*6.5/9)=</t>
  </si>
  <si>
    <t>נכס מוחזק למכירה</t>
  </si>
  <si>
    <t>0.25*11,250=</t>
  </si>
  <si>
    <t>0.45*75,000=</t>
  </si>
  <si>
    <t>0.25*33,750=</t>
  </si>
  <si>
    <t>0.45*35,000=</t>
  </si>
  <si>
    <t>0.25*15,750=</t>
  </si>
  <si>
    <t>(3)</t>
  </si>
  <si>
    <t>רווחי אקוויטי 10-12/2012</t>
  </si>
  <si>
    <t>יתרת עודפים 1.10.2012</t>
  </si>
  <si>
    <t>יתרת עודפים 31.12.2012</t>
  </si>
  <si>
    <t>רווח 10-12/2012</t>
  </si>
  <si>
    <t>(4)</t>
  </si>
  <si>
    <t>הפחתת ע"ע  נכס מוחזק למכירה 31.12.2012</t>
  </si>
  <si>
    <t>ספרי מיכל</t>
  </si>
  <si>
    <t>90,000*6.5/9=</t>
  </si>
  <si>
    <t>עלות מופחתת ליום הסיווג</t>
  </si>
  <si>
    <t>65,000-4,500=</t>
  </si>
  <si>
    <t>שווי הוגן בניכוי עלויות מכירה</t>
  </si>
  <si>
    <t>הנכס מופיע אצל מיכל לפי הנמוך מביניהם, כלומר, לפי שווי הוגן בניכוי עלויות מכירה ולכן יש להפחית</t>
  </si>
  <si>
    <t xml:space="preserve">את מלוא יתרת עודף העלות בגין הנכס </t>
  </si>
  <si>
    <t>(5)</t>
  </si>
  <si>
    <t>הנפקת מניות הטבה</t>
  </si>
  <si>
    <t>מדובר במיון בתוך ההון העצמי ולכן אין שינוי בחשבון ההשקעה</t>
  </si>
  <si>
    <t>חברת מיכל רשמה את הפקודה</t>
  </si>
  <si>
    <t>130,000*20%=</t>
  </si>
  <si>
    <t>ח. עודפים</t>
  </si>
  <si>
    <t xml:space="preserve">   ז. הון מ"ר</t>
  </si>
  <si>
    <t>מס' המניות השתנה לכל בעלי המניות ולכן אין שינוי בשיעור ההחזקה</t>
  </si>
  <si>
    <t>130,000*0.45*1.2=</t>
  </si>
  <si>
    <t>מס' המניות המוחזק דקה אחרי אצל חברת לירז</t>
  </si>
  <si>
    <t>(6)</t>
  </si>
  <si>
    <t>רווחי אקוויטי 1-12/2013</t>
  </si>
  <si>
    <t>מאחר והונפקו מניות בכורה צוברות ב-1.7.2013 נפריד את התנועה  בעודפים בין 2 התקופות</t>
  </si>
  <si>
    <t>תנועה בעודפים 1-6/2013</t>
  </si>
  <si>
    <t>רווח 1-6/2013</t>
  </si>
  <si>
    <t>יתרת עודפים 1.7.2013</t>
  </si>
  <si>
    <t>תנועה בעודפים 7-12/2013</t>
  </si>
  <si>
    <t>דיבידנד 30.9.13</t>
  </si>
  <si>
    <t>רווח (הפסד) 7-12/2013</t>
  </si>
  <si>
    <t>יתרת עודפים 31.12.2013</t>
  </si>
  <si>
    <t>(7)</t>
  </si>
  <si>
    <t>הפחתת ע"ע תביעה משפטית 31.12.2013</t>
  </si>
  <si>
    <t>הפרשה לפי IAS37</t>
  </si>
  <si>
    <t>שווי הוגן ליום רכישה</t>
  </si>
  <si>
    <t>הפרש מקורי צ"ל</t>
  </si>
  <si>
    <t>15,750*0.75=</t>
  </si>
  <si>
    <t>הפרש מקורי קיים</t>
  </si>
  <si>
    <t>הפחתה</t>
  </si>
  <si>
    <t>(8)</t>
  </si>
  <si>
    <t>דיבידנד 30.9.2013</t>
  </si>
  <si>
    <t>נשקף בתנועה בחשבון ההשקעה במניות רגילות רק את הדיבידנד למניות הרגילות</t>
  </si>
  <si>
    <t xml:space="preserve">בנוסף, מאחר וחברת לירז מחזיקה במניות הבכורה של מיכל ומסווגת אותם כני"ע זמינים למכירה </t>
  </si>
  <si>
    <t>היא רושמת הכנסות מדיבידנד מניות בכורה ברווח והפסד</t>
  </si>
  <si>
    <t xml:space="preserve">סה"כ דיבידנד שחולק </t>
  </si>
  <si>
    <t>150,000*8%*3/12=</t>
  </si>
  <si>
    <t>דיבידנד למ"ב</t>
  </si>
  <si>
    <t>דיבידנד למ"ר</t>
  </si>
  <si>
    <t>(9)</t>
  </si>
  <si>
    <t>רווחי אקוויטי 1-3/2014</t>
  </si>
  <si>
    <t>תנועה בעודפים 1-3/2014</t>
  </si>
  <si>
    <t>יתרת עודפים 1.4.2014</t>
  </si>
  <si>
    <t>(10)</t>
  </si>
  <si>
    <t>הפחתת ע"ע תביעה משפטית 31.03.2014</t>
  </si>
  <si>
    <t>מאחר והושגה פשרה והתביעה סולקה יש להפחית את מלוא עודף העלות</t>
  </si>
  <si>
    <t>(11)</t>
  </si>
  <si>
    <t>גריעה כתוצאה ממכירה 1.4.2014</t>
  </si>
  <si>
    <t>(70,200-15,600)/156,000=</t>
  </si>
  <si>
    <t>אחוז החזקה חדש</t>
  </si>
  <si>
    <t>ח. מזומן</t>
  </si>
  <si>
    <t xml:space="preserve">   ז. השקעה </t>
  </si>
  <si>
    <t xml:space="preserve">   ז. רווח הון</t>
  </si>
  <si>
    <t>(12)</t>
  </si>
  <si>
    <t>רווחי אקוויטי 4-12/2014</t>
  </si>
  <si>
    <t>תנועה בעודפים 4-12/2014</t>
  </si>
  <si>
    <t>דיבידנד 31.12.14</t>
  </si>
  <si>
    <t>רווח (הפסד) 7-12/2014</t>
  </si>
  <si>
    <t>(13)</t>
  </si>
  <si>
    <t>דיבידנד 31.12.2014</t>
  </si>
  <si>
    <t>150,000*8%*1.25=</t>
  </si>
  <si>
    <t>פתרון שאלה 2:</t>
  </si>
  <si>
    <t>נדרש 1: תנועה בחשבון השקעה לשנים 2008-2010</t>
  </si>
  <si>
    <t>תנועה</t>
  </si>
  <si>
    <t>הסבר</t>
  </si>
  <si>
    <t>31.12.07</t>
  </si>
  <si>
    <t>1,2</t>
  </si>
  <si>
    <t>רווחי אקוויטי</t>
  </si>
  <si>
    <t>150000*0.2=</t>
  </si>
  <si>
    <t xml:space="preserve">הפחתת ה"מ: </t>
  </si>
  <si>
    <t>מכונות</t>
  </si>
  <si>
    <t>622-889=</t>
  </si>
  <si>
    <t>נדלן</t>
  </si>
  <si>
    <t>171-244=</t>
  </si>
  <si>
    <t>מטוס</t>
  </si>
  <si>
    <t>312-319=</t>
  </si>
  <si>
    <t>120-0=</t>
  </si>
  <si>
    <t>דמי חכירה</t>
  </si>
  <si>
    <t>527-868=</t>
  </si>
  <si>
    <t>2,6</t>
  </si>
  <si>
    <t>התאמת מדיניות- נדלן</t>
  </si>
  <si>
    <t>ני"ע זמינים למכירה</t>
  </si>
  <si>
    <t>8850*0.2=</t>
  </si>
  <si>
    <t>31.12.08</t>
  </si>
  <si>
    <t>יתרה לפני עליה</t>
  </si>
  <si>
    <t>מניות באוצר</t>
  </si>
  <si>
    <t>הפחתת מוניטין שלילי</t>
  </si>
  <si>
    <t>יתרה לאחר עליה</t>
  </si>
  <si>
    <t>150000*6/17</t>
  </si>
  <si>
    <t>16287/8*0.75</t>
  </si>
  <si>
    <t>3470*0.75</t>
  </si>
  <si>
    <t>4403*0.75</t>
  </si>
  <si>
    <t>10112/13*0.75</t>
  </si>
  <si>
    <t>2897*0.2*0.75</t>
  </si>
  <si>
    <t>(-22500)*6/17=</t>
  </si>
  <si>
    <t>שערוך מכונות</t>
  </si>
  <si>
    <t>הפחתת ה"מ לקרן שערוך</t>
  </si>
  <si>
    <t>16287*7/8*0.75</t>
  </si>
  <si>
    <t>31.12.09</t>
  </si>
  <si>
    <t>1.1.10</t>
  </si>
  <si>
    <t>הנפקה</t>
  </si>
  <si>
    <t>pn</t>
  </si>
  <si>
    <t>1,8</t>
  </si>
  <si>
    <t>יתרה לאחר הנפקה</t>
  </si>
  <si>
    <t>150000*0.3</t>
  </si>
  <si>
    <t>7934/12*0.75</t>
  </si>
  <si>
    <t>3187*0.2*0.3/(6/17)*0.75</t>
  </si>
  <si>
    <t>6,8</t>
  </si>
  <si>
    <t>הפחתת קרן שערוך</t>
  </si>
  <si>
    <t>(-50357)*0.3</t>
  </si>
  <si>
    <t>מכירת ני"ע זמינים למכירה</t>
  </si>
  <si>
    <t>(-5250)*0.3</t>
  </si>
  <si>
    <t>31.12.10</t>
  </si>
  <si>
    <t>נדרש 2: ניתוח הרכב חשבון השקעה בסוף כל שנה</t>
  </si>
  <si>
    <t>חלקי בשווי מאזני</t>
  </si>
  <si>
    <t>6/17(800000+150000+8850-410000)=</t>
  </si>
  <si>
    <t>יתרת הפרש מקורי:</t>
  </si>
  <si>
    <t>8000*8/9+9176=</t>
  </si>
  <si>
    <t>2,7</t>
  </si>
  <si>
    <t>מס נידחה</t>
  </si>
  <si>
    <t>נדלן להשקעה</t>
  </si>
  <si>
    <t>2200*8/9+4402=</t>
  </si>
  <si>
    <t>4604*13/14+5837=</t>
  </si>
  <si>
    <t>דמי חכירה לשלם</t>
  </si>
  <si>
    <t>71034*0.2</t>
  </si>
  <si>
    <t>6/17(548850+150000-22500+67500)</t>
  </si>
  <si>
    <t>10112*12/13</t>
  </si>
  <si>
    <t>68136*0.2</t>
  </si>
  <si>
    <t>0.3(1143850+150000-50357-5250)</t>
  </si>
  <si>
    <t>64950*0.2*0.3/(6/17)</t>
  </si>
  <si>
    <t>נדרש 3: פקודות יומן בגין שערוך המכונות שרשמה חברה א' בתאריך 31.12.10</t>
  </si>
  <si>
    <t>הסברים</t>
  </si>
  <si>
    <t>חובה</t>
  </si>
  <si>
    <t>זכות</t>
  </si>
  <si>
    <t>קרן שערוך</t>
  </si>
  <si>
    <t>עודפים</t>
  </si>
  <si>
    <t>השקעה</t>
  </si>
  <si>
    <t>הסברים:</t>
  </si>
  <si>
    <t>שינויים בשיעורי החזקה:</t>
  </si>
  <si>
    <t>שיעור החזקה</t>
  </si>
  <si>
    <t>סה"כ מניות שא' מחזיקה</t>
  </si>
  <si>
    <t>סה"כ מניות של ב'</t>
  </si>
  <si>
    <t>1.7.08</t>
  </si>
  <si>
    <t>הנפקת מניות הטבה אינה משפיעה על שיעורי ההחזקה אבל כמות המניות משתנה.</t>
  </si>
  <si>
    <t>בעקבות רכישת מניות באוצר ישנה עליה בשיעור החזקה, שיעור ההחזקה החדש הינו 6/17</t>
  </si>
  <si>
    <t>בעקבות ההנפקה ישנה ירידה בשיעור החזקה.</t>
  </si>
  <si>
    <t>31.12.07 חישוב הפרש מקורי</t>
  </si>
  <si>
    <t>נתון</t>
  </si>
  <si>
    <t>שווי נירכש</t>
  </si>
  <si>
    <t>PN</t>
  </si>
  <si>
    <t>ה"מ</t>
  </si>
  <si>
    <t>חושב בייחוס ה"מ</t>
  </si>
  <si>
    <t>התאמת הון עצמי:</t>
  </si>
  <si>
    <t>הון עצמי 31.12.07</t>
  </si>
  <si>
    <t>התאמת מדיניות - נדלן להשקעה</t>
  </si>
  <si>
    <t>(100000*9/10-101000)0.7=</t>
  </si>
  <si>
    <t>158460/0.2=</t>
  </si>
  <si>
    <t>שינוי בשיעור מס</t>
  </si>
  <si>
    <t>ייחוס הפרש מקורי:</t>
  </si>
  <si>
    <t xml:space="preserve">הפחתה 2008 PN </t>
  </si>
  <si>
    <t>(400000-400000*9/10)*0.2</t>
  </si>
  <si>
    <t>(101000-100000*9/10)*0.2</t>
  </si>
  <si>
    <t>(45000-33000)*0.2</t>
  </si>
  <si>
    <t>(165000-152120*14/15)*0.2</t>
  </si>
  <si>
    <t>(-73666)*0.2</t>
  </si>
  <si>
    <t>(-71033)*0.2</t>
  </si>
  <si>
    <t>מכונות:</t>
  </si>
  <si>
    <t>ב- 31.12.09 שינתה חברה ב' את המדיניות ועברה למודל השערוך, חברה א' הסכימה עם השינוי. ולכן,</t>
  </si>
  <si>
    <t>תנועה בקרן שערוך אצל ב'</t>
  </si>
  <si>
    <t>תנועה בקרן שערוך אצל א'</t>
  </si>
  <si>
    <t>שערוך</t>
  </si>
  <si>
    <t>(370000-400000*7/10)*0.75</t>
  </si>
  <si>
    <t>ראשית א' מושכת אוטומטית מהרווח הכולל של ב'</t>
  </si>
  <si>
    <t>גריעה בעקבות ירידה</t>
  </si>
  <si>
    <t>13135*(6/17-0.3)/(6/17)</t>
  </si>
  <si>
    <t>יתרה לאחר גריעה</t>
  </si>
  <si>
    <t>67500/7</t>
  </si>
  <si>
    <t>11165/7</t>
  </si>
  <si>
    <t>(250000-370000*6/7)0.75</t>
  </si>
  <si>
    <t>העברה לרווח הפסד</t>
  </si>
  <si>
    <t>יתרה לאחר העברה</t>
  </si>
  <si>
    <t>נדל"ן להשקעה:</t>
  </si>
  <si>
    <t>התאמת מדיניות- ב' שווי הוגן וא' עלות. בנוסף יש לייחס ה"מ.</t>
  </si>
  <si>
    <t>תנועה בהתאמה:</t>
  </si>
  <si>
    <t>0.2(100000*9/10-101000)0.7=</t>
  </si>
  <si>
    <t>0.2(100000*8/10-96000)0.75=</t>
  </si>
  <si>
    <t>לאחר עליה</t>
  </si>
  <si>
    <t>6/17(100000*8/10-96000)0.75=</t>
  </si>
  <si>
    <t>שינוי מדיניות.</t>
  </si>
  <si>
    <t>ב- 31.12.09 שינתה חברה א את מדיניותה למודל השווי ההוגן. ולכן,</t>
  </si>
  <si>
    <t>יש לסגור את התאמת המדיניות י.פ</t>
  </si>
  <si>
    <t>6/17(96000-100000*8/10)0.75=</t>
  </si>
  <si>
    <t>ואת יתרת ההפרש המקורי בגין הנדלן</t>
  </si>
  <si>
    <t>4403*0.75=</t>
  </si>
  <si>
    <t>משנה זאת ואילך אין צורך לעשות דבר.</t>
  </si>
  <si>
    <t>השקעה בחברת ש.ש- ני"ע זמינים למכירה</t>
  </si>
  <si>
    <t>תנועה בקרן הון אצל ב'</t>
  </si>
  <si>
    <t>תנועה בקרן הון אצל א'</t>
  </si>
  <si>
    <t>(80000-(50000+3000))*0.7=</t>
  </si>
  <si>
    <t>זהו יום הרכישה של א' את ב' ולכן בספרי א' אין קרן הון</t>
  </si>
  <si>
    <t>קרן הון השנה</t>
  </si>
  <si>
    <t>(90000-53000)0.75=</t>
  </si>
  <si>
    <t>(60000-90000)0.75=</t>
  </si>
  <si>
    <t>22500*6/17</t>
  </si>
  <si>
    <t>אין בעיה שקרן ההון תהיה בחובה כל עוד אין סימנים לירידת ערך</t>
  </si>
  <si>
    <t>6171*(6/17-0.3)/(6/17)</t>
  </si>
  <si>
    <t>1.5.10</t>
  </si>
  <si>
    <t>מכירת השקעה</t>
  </si>
  <si>
    <t>יתרה לאחר מכירה</t>
  </si>
  <si>
    <t>חוזה חכירה</t>
  </si>
  <si>
    <t>1.1.07</t>
  </si>
  <si>
    <t xml:space="preserve">חברה ב' חתמה על חוזה לחכירת מטוס בתאריך 1.1.07 ונתון כי מדובר בחכירה הונית בספריה. </t>
  </si>
  <si>
    <t>מכאן, שחברה ב' צריכה לרשום בספריה ביום חתימת החוזה ח' מטוס ז' דמי חכירה לשלם על הסכום הנמוך מבין הערך הנוכחי של דמי החכירה לבין שווי שוק של מטוס דומה</t>
  </si>
  <si>
    <t>ערך נוכחי של דמי החכירה:</t>
  </si>
  <si>
    <t>נתון:</t>
  </si>
  <si>
    <t>pv= -152120</t>
  </si>
  <si>
    <t>pmt=20000</t>
  </si>
  <si>
    <t>fv=0</t>
  </si>
  <si>
    <t xml:space="preserve">n=15 </t>
  </si>
  <si>
    <t>ומכאן</t>
  </si>
  <si>
    <t>i=solve=10%</t>
  </si>
  <si>
    <t>שווי שוק של מטוס דומה</t>
  </si>
  <si>
    <t>מכאן שב- 1.1.07 נירשם בספרי ב' ח' מטוס ז' דמי חכירה לשלם בסך של 152120 ₪ כאשר את המטוס חברה ב' מפחיתה ל- 15 שנה (נתון כי תקופת החכירה שווה לאורך חיי המטוס)</t>
  </si>
  <si>
    <t>ובדמי החכירה לשלם היא מטפלת כמו בהלוואה רגילה לפי שיעור ההיוון שמצאנו לעיל.</t>
  </si>
  <si>
    <t>נתון כי שיעור ההיוון למועד חתימת החוזה (10%) שווה לשיעור ההיוון ששרר בשוק בתאריך 31.12.07 ולכן נייחס ה"מ רק עבור השינויים ב PMT.</t>
  </si>
  <si>
    <t>ההפרש בין שווי הוגן דמי חכירה לעלות בספרים</t>
  </si>
  <si>
    <t>pv(n=14,i=10,pmt(30000-20000))=</t>
  </si>
  <si>
    <t>bal 1</t>
  </si>
  <si>
    <t>bal 2</t>
  </si>
  <si>
    <t>bal 3</t>
  </si>
  <si>
    <t xml:space="preserve"> עליה בשיעור החזקה- 31.12.08</t>
  </si>
  <si>
    <t>בתאריך 31.12.08 חברה ב' רכשה מניות של עצמה (מניות באוצר) כתוצאה מהרכישה שיעור ההחזקה עלה ל- 6/17 (ראה הסבר 1).</t>
  </si>
  <si>
    <t>לכן, יש לחשב הפרש מקורי חדש ולייחסו.</t>
  </si>
  <si>
    <t xml:space="preserve">שיעור ההחזקה עלה ב- </t>
  </si>
  <si>
    <t>שיעור ישן 3.4/17</t>
  </si>
  <si>
    <t>שיעור חדש 6/17</t>
  </si>
  <si>
    <t>גידול</t>
  </si>
  <si>
    <t>2.6/17</t>
  </si>
  <si>
    <t>שווי נירכש:</t>
  </si>
  <si>
    <t>דקה לפני</t>
  </si>
  <si>
    <t>946851*0.2</t>
  </si>
  <si>
    <t>דקה אחרי</t>
  </si>
  <si>
    <t>(946851-410000)*6/17</t>
  </si>
  <si>
    <t>סה"כ שינוי</t>
  </si>
  <si>
    <t>הפרש מקורי</t>
  </si>
  <si>
    <t>הון עצמי מתוקן דקה לפני:</t>
  </si>
  <si>
    <t>הון ל- 31.12.07</t>
  </si>
  <si>
    <t>רווחים</t>
  </si>
  <si>
    <t>קרן הון</t>
  </si>
  <si>
    <t>התאמת מדיניות נדלן</t>
  </si>
  <si>
    <t>(100000*8/10-96000)0.7=</t>
  </si>
  <si>
    <t>ייחוס ה"מ:</t>
  </si>
  <si>
    <t>(380000-400000*8/10)*2.6/17</t>
  </si>
  <si>
    <t>(96000-100000*8/10)*2.6/17</t>
  </si>
  <si>
    <t>(40000-33000)*2.6/17</t>
  </si>
  <si>
    <t>(170000-152120*13/15)*2.6/17</t>
  </si>
  <si>
    <t xml:space="preserve">נתון כי דמי השכירות  השנתיים ושיעור ההיוון במועד זה שווים לדמי השכירות והריבית שהיו קיימים למועד חתימת החוזה </t>
  </si>
  <si>
    <t>ולכן אין לייחס ה"מ נוסף.</t>
  </si>
  <si>
    <t>ירידה בשיעור החזקה- 1.1.10</t>
  </si>
  <si>
    <t>ביום 1.1.10 הנפיקה חברה ב' מניות וכתוצאה מההנפקשה שיעור ההחזקה ירד ל- 30% (חושב בהסבר 1). לכן, יש למצוא הרכב חשבון השקעה לאחר ההנפקה.</t>
  </si>
  <si>
    <t>0.3(743850+400000)</t>
  </si>
  <si>
    <t>9334*0.3/(6/17)</t>
  </si>
  <si>
    <t>68136*0.2*0.3/(6/17)</t>
  </si>
  <si>
    <t>39810*0.3/(6/17)</t>
  </si>
  <si>
    <t>שיעורי אחזקה</t>
  </si>
  <si>
    <t>1/08/2011-31/12/2012</t>
  </si>
  <si>
    <t>1/1/2011-30/06/2011</t>
  </si>
  <si>
    <t>1/7/2011-31/12/2011</t>
  </si>
  <si>
    <t>נדרש א</t>
  </si>
  <si>
    <t>ביאור</t>
  </si>
  <si>
    <t>עלות 1.8.2010</t>
  </si>
  <si>
    <t>חישוב עודף עלות</t>
  </si>
  <si>
    <t>רווחי אקויטי 8-12/10</t>
  </si>
  <si>
    <t>הפחתת עודף עלות</t>
  </si>
  <si>
    <t>שווי נרכש</t>
  </si>
  <si>
    <t>תלויה</t>
  </si>
  <si>
    <t>התאמת מדיניות ר"ק</t>
  </si>
  <si>
    <t>פחת</t>
  </si>
  <si>
    <t>חישוב העלות</t>
  </si>
  <si>
    <t>ירשם כנגד רווחי אקויטי</t>
  </si>
  <si>
    <t>31/12/2010</t>
  </si>
  <si>
    <t>תיקון לאחור</t>
  </si>
  <si>
    <t>הון מתוקן</t>
  </si>
  <si>
    <t>רווחי אקויטי 1-6/11</t>
  </si>
  <si>
    <t>התאמה ר"ק</t>
  </si>
  <si>
    <t>מס נדחה הפסד</t>
  </si>
  <si>
    <t>נדל"ן להשקעה</t>
  </si>
  <si>
    <t>30/06/2011</t>
  </si>
  <si>
    <t>רווחי אקויטי</t>
  </si>
  <si>
    <t>התאמת מדיניות</t>
  </si>
  <si>
    <t>1/08/2010</t>
  </si>
  <si>
    <t>דבדנד</t>
  </si>
  <si>
    <t>א</t>
  </si>
  <si>
    <t>31/12/2011</t>
  </si>
  <si>
    <t>פחת ספרי ב</t>
  </si>
  <si>
    <t>פחת נקודת מבט א</t>
  </si>
  <si>
    <t>השפעה על הדוח על הרווח הכולל</t>
  </si>
  <si>
    <t>ב</t>
  </si>
  <si>
    <t>רווח והפסד - רווחי אקויטי</t>
  </si>
  <si>
    <t>נקודת מבט א</t>
  </si>
  <si>
    <t>רווח והפסד - רווח הון</t>
  </si>
  <si>
    <t>בגין השינויים בשיעורי אחזקה</t>
  </si>
  <si>
    <t>רווח כולל אחר- קרן שערוך</t>
  </si>
  <si>
    <t>רווח כולל אחר - קרן הון</t>
  </si>
  <si>
    <t>הרכב חשבון ההשקעה</t>
  </si>
  <si>
    <t>חלק בשווי</t>
  </si>
  <si>
    <t>מקסימום עד איפוס המוניטין</t>
  </si>
  <si>
    <t>הנפקה- ירידה בשיעור אחזקה- חישוב רווח הפסד הון</t>
  </si>
  <si>
    <t>אחוז לפני</t>
  </si>
  <si>
    <t>אחוז אחרי</t>
  </si>
  <si>
    <t>חשבון השקעה לפני</t>
  </si>
  <si>
    <t>חשבון השקעה אחרי</t>
  </si>
  <si>
    <t>רווח הון</t>
  </si>
  <si>
    <t>הרכב חשבון השקעה אחרי</t>
  </si>
  <si>
    <t>שחזור תמורת הנפקה</t>
  </si>
  <si>
    <t>סה"כ הון עצמי אחרי</t>
  </si>
  <si>
    <t>סה"כ הון עצמי לפני</t>
  </si>
  <si>
    <t>ניירות ערך זמינים למכירה</t>
  </si>
  <si>
    <t>ספרי ב</t>
  </si>
  <si>
    <t>סגירת קרן הון מול רווח הון</t>
  </si>
  <si>
    <t>משיכת רווח גבוה מדי מנקודת מבט א</t>
  </si>
  <si>
    <t>הרכב חשבון השקעה לפני</t>
  </si>
  <si>
    <t>מניות באוצר- עליה בשיעור אחזקה</t>
  </si>
  <si>
    <t>אחוז אחזקה לפני</t>
  </si>
  <si>
    <t>אחוז אחזקה אחרי</t>
  </si>
  <si>
    <t>חישוב עודף עלות 2</t>
  </si>
  <si>
    <t>חלק בשווי לפני</t>
  </si>
  <si>
    <t>חלק בשווי אחרי</t>
  </si>
  <si>
    <t>ייחוס עודף עלות 2</t>
  </si>
  <si>
    <t>נקודת מבט ב</t>
  </si>
  <si>
    <t>הרכב חשבון השקעה</t>
  </si>
  <si>
    <t>הערה</t>
  </si>
  <si>
    <t>יתקבל גם פתרון בו יצרו מס נדחה על ההפסד להעברה עד גובה המס נדחה בזכות.</t>
  </si>
  <si>
    <t>600,000/5*6/12=</t>
  </si>
  <si>
    <t>500,000/5*6/12=</t>
  </si>
  <si>
    <t>2,727,428*20%-80000*0.35=</t>
  </si>
  <si>
    <t>(60,000-50,000)*0.2=</t>
  </si>
  <si>
    <t>80,000*(0.2-0.25)</t>
  </si>
  <si>
    <t>גריעת יתרת קרן שערוך שבספרי המשקיעה</t>
  </si>
  <si>
    <t>אקוויטי בגין המכונות</t>
  </si>
  <si>
    <t>רישום הפסדי אקוויטי בגין הירידה</t>
  </si>
  <si>
    <t>אקוויטי בגין הני"ע</t>
  </si>
  <si>
    <t>איפוס קרן הון בחובה אצל א</t>
  </si>
  <si>
    <t>הפסד אקוויטי</t>
  </si>
  <si>
    <t>הסבר- חברה א צריכה למשוך קרן הון בחובה בסך 5250*0.3=1575, אבל לפני שמושכים סכום זה חייבים לוודא שלחברה א יש מספיק קרן הון,</t>
  </si>
  <si>
    <t>מכיוון שאין לה, איפסנו את קרן ההון ובשאר הכרנו בהפסד כך שסך ההשפעה תהיה עדיין 1575 קיטון של ההשקעה.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</si>
</sst>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 * #,##0_ ;_ * \(#,##0\)_ ;_ * &quot;-&quot;_ ;_ @_ "/>
    <numFmt numFmtId="165" formatCode="_ * #,##0_ ;_ * \(#,##0\)_);_ * &quot;-&quot;??_ ;_ @_ "/>
    <numFmt numFmtId="166" formatCode="_ * #,##0_ ;_ * \-#,##0_ ;_ * &quot;-&quot;??_ ;_ @_ "/>
    <numFmt numFmtId="167" formatCode="_ * #,##0_ ;_ * \-#,##0_ ;_ * &quot;-&quot;?_ ;_ @_ "/>
    <numFmt numFmtId="168" formatCode="0.0"/>
  </numFmts>
  <fonts count="17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  <charset val="177"/>
    </font>
    <font>
      <b/>
      <u/>
      <sz val="11"/>
      <color indexed="8"/>
      <name val="Arial"/>
      <family val="2"/>
    </font>
    <font>
      <u val="singleAccounting"/>
      <sz val="11"/>
      <color indexed="8"/>
      <name val="Arial"/>
      <family val="2"/>
      <charset val="177"/>
    </font>
    <font>
      <sz val="11"/>
      <color indexed="8"/>
      <name val="Arial"/>
      <family val="2"/>
      <charset val="177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u/>
      <sz val="11"/>
      <color indexed="8"/>
      <name val="Arial"/>
      <family val="2"/>
    </font>
    <font>
      <b/>
      <u/>
      <sz val="22"/>
      <color indexed="10"/>
      <name val="Arial"/>
      <family val="2"/>
    </font>
    <font>
      <b/>
      <sz val="11"/>
      <name val="Arial"/>
      <family val="2"/>
    </font>
    <font>
      <sz val="10"/>
      <name val="Arial"/>
      <charset val="177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1" fillId="0" borderId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 readingOrder="2"/>
    </xf>
    <xf numFmtId="164" fontId="0" fillId="0" borderId="0" xfId="0" applyNumberFormat="1"/>
    <xf numFmtId="0" fontId="3" fillId="0" borderId="0" xfId="0" applyFont="1"/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/>
    <xf numFmtId="0" fontId="6" fillId="0" borderId="0" xfId="0" applyFont="1"/>
    <xf numFmtId="165" fontId="0" fillId="0" borderId="0" xfId="0" applyNumberFormat="1" applyBorder="1"/>
    <xf numFmtId="165" fontId="0" fillId="0" borderId="1" xfId="0" applyNumberFormat="1" applyBorder="1"/>
    <xf numFmtId="0" fontId="0" fillId="2" borderId="0" xfId="0" applyFill="1"/>
    <xf numFmtId="0" fontId="0" fillId="0" borderId="0" xfId="0" applyFill="1"/>
    <xf numFmtId="165" fontId="0" fillId="0" borderId="0" xfId="0" applyNumberFormat="1" applyFill="1" applyBorder="1"/>
    <xf numFmtId="49" fontId="7" fillId="0" borderId="0" xfId="0" applyNumberFormat="1" applyFont="1" applyBorder="1"/>
    <xf numFmtId="0" fontId="8" fillId="0" borderId="0" xfId="0" applyFont="1"/>
    <xf numFmtId="165" fontId="6" fillId="0" borderId="0" xfId="0" applyNumberFormat="1" applyFont="1" applyBorder="1"/>
    <xf numFmtId="0" fontId="8" fillId="0" borderId="2" xfId="0" applyFont="1" applyBorder="1"/>
    <xf numFmtId="0" fontId="8" fillId="0" borderId="3" xfId="0" applyFont="1" applyBorder="1"/>
    <xf numFmtId="165" fontId="0" fillId="0" borderId="4" xfId="0" applyNumberFormat="1" applyBorder="1"/>
    <xf numFmtId="165" fontId="0" fillId="0" borderId="5" xfId="0" applyNumberFormat="1" applyBorder="1"/>
    <xf numFmtId="0" fontId="0" fillId="0" borderId="6" xfId="0" applyBorder="1"/>
    <xf numFmtId="165" fontId="0" fillId="0" borderId="6" xfId="0" applyNumberFormat="1" applyBorder="1"/>
    <xf numFmtId="9" fontId="6" fillId="0" borderId="7" xfId="3" applyFon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0" xfId="0" applyNumberFormat="1"/>
    <xf numFmtId="0" fontId="0" fillId="0" borderId="0" xfId="0" applyBorder="1"/>
    <xf numFmtId="9" fontId="6" fillId="0" borderId="0" xfId="3" applyNumberFormat="1" applyFont="1" applyBorder="1"/>
    <xf numFmtId="0" fontId="0" fillId="0" borderId="0" xfId="0" applyFill="1" applyBorder="1"/>
    <xf numFmtId="0" fontId="9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3" applyFont="1"/>
    <xf numFmtId="166" fontId="0" fillId="0" borderId="0" xfId="1" applyNumberFormat="1" applyFont="1"/>
    <xf numFmtId="0" fontId="0" fillId="2" borderId="0" xfId="0" applyFill="1" applyAlignment="1">
      <alignment horizontal="center"/>
    </xf>
    <xf numFmtId="167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1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6" fontId="0" fillId="0" borderId="0" xfId="0" applyNumberFormat="1"/>
    <xf numFmtId="166" fontId="1" fillId="0" borderId="0" xfId="1" applyNumberFormat="1" applyFont="1" applyAlignment="1"/>
    <xf numFmtId="0" fontId="1" fillId="0" borderId="0" xfId="0" applyFont="1" applyAlignment="1"/>
    <xf numFmtId="43" fontId="0" fillId="0" borderId="0" xfId="1" applyFont="1"/>
    <xf numFmtId="1" fontId="0" fillId="0" borderId="0" xfId="0" applyNumberFormat="1"/>
    <xf numFmtId="166" fontId="0" fillId="0" borderId="0" xfId="1" applyNumberFormat="1" applyFont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right"/>
    </xf>
    <xf numFmtId="1" fontId="0" fillId="0" borderId="0" xfId="1" applyNumberFormat="1" applyFont="1"/>
    <xf numFmtId="168" fontId="11" fillId="0" borderId="0" xfId="2" applyNumberFormat="1"/>
    <xf numFmtId="1" fontId="12" fillId="0" borderId="0" xfId="2" applyNumberFormat="1" applyFont="1" applyAlignment="1">
      <alignment horizontal="center"/>
    </xf>
    <xf numFmtId="1" fontId="13" fillId="0" borderId="0" xfId="2" quotePrefix="1" applyNumberFormat="1" applyFont="1"/>
    <xf numFmtId="1" fontId="11" fillId="0" borderId="0" xfId="2" applyNumberFormat="1"/>
    <xf numFmtId="9" fontId="11" fillId="0" borderId="0" xfId="2" applyNumberFormat="1"/>
    <xf numFmtId="1" fontId="14" fillId="0" borderId="0" xfId="2" applyNumberFormat="1" applyFont="1"/>
    <xf numFmtId="1" fontId="13" fillId="0" borderId="0" xfId="2" applyNumberFormat="1" applyFont="1"/>
    <xf numFmtId="1" fontId="11" fillId="0" borderId="0" xfId="2" applyNumberFormat="1" applyBorder="1"/>
    <xf numFmtId="1" fontId="13" fillId="0" borderId="0" xfId="2" quotePrefix="1" applyNumberFormat="1" applyFont="1" applyBorder="1"/>
    <xf numFmtId="1" fontId="15" fillId="0" borderId="0" xfId="2" applyNumberFormat="1" applyFont="1"/>
    <xf numFmtId="1" fontId="11" fillId="0" borderId="8" xfId="2" applyNumberFormat="1" applyBorder="1"/>
    <xf numFmtId="1" fontId="13" fillId="0" borderId="0" xfId="2" applyNumberFormat="1" applyFont="1" applyBorder="1"/>
    <xf numFmtId="1" fontId="13" fillId="0" borderId="0" xfId="2" quotePrefix="1" applyNumberFormat="1" applyFont="1" applyAlignment="1">
      <alignment horizontal="right"/>
    </xf>
    <xf numFmtId="9" fontId="11" fillId="0" borderId="0" xfId="2" applyNumberFormat="1" applyBorder="1"/>
    <xf numFmtId="1" fontId="13" fillId="0" borderId="0" xfId="2" applyNumberFormat="1" applyFont="1" applyAlignment="1">
      <alignment horizontal="left"/>
    </xf>
    <xf numFmtId="1" fontId="12" fillId="0" borderId="0" xfId="2" applyNumberFormat="1" applyFont="1" applyAlignment="1">
      <alignment horizontal="right"/>
    </xf>
    <xf numFmtId="1" fontId="12" fillId="0" borderId="8" xfId="2" applyNumberFormat="1" applyFont="1" applyBorder="1"/>
    <xf numFmtId="1" fontId="14" fillId="0" borderId="0" xfId="2" applyNumberFormat="1" applyFont="1" applyBorder="1"/>
  </cellXfs>
  <cellStyles count="4">
    <cellStyle name="Comma 2" xfId="1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55</xdr:row>
      <xdr:rowOff>38100</xdr:rowOff>
    </xdr:from>
    <xdr:to>
      <xdr:col>10</xdr:col>
      <xdr:colOff>276227</xdr:colOff>
      <xdr:row>55</xdr:row>
      <xdr:rowOff>152400</xdr:rowOff>
    </xdr:to>
    <xdr:sp macro="" textlink="">
      <xdr:nvSpPr>
        <xdr:cNvPr id="2" name="סוגר מסולסל שמאלי 1"/>
        <xdr:cNvSpPr/>
      </xdr:nvSpPr>
      <xdr:spPr>
        <a:xfrm rot="5400000">
          <a:off x="11229994049" y="9810749"/>
          <a:ext cx="114300" cy="177165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endParaRPr lang="he-IL"/>
        </a:p>
      </xdr:txBody>
    </xdr:sp>
    <xdr:clientData/>
  </xdr:twoCellAnchor>
  <xdr:twoCellAnchor>
    <xdr:from>
      <xdr:col>7</xdr:col>
      <xdr:colOff>638175</xdr:colOff>
      <xdr:row>75</xdr:row>
      <xdr:rowOff>171450</xdr:rowOff>
    </xdr:from>
    <xdr:to>
      <xdr:col>10</xdr:col>
      <xdr:colOff>285751</xdr:colOff>
      <xdr:row>76</xdr:row>
      <xdr:rowOff>142875</xdr:rowOff>
    </xdr:to>
    <xdr:sp macro="" textlink="">
      <xdr:nvSpPr>
        <xdr:cNvPr id="3" name="סוגר מסולסל שמאלי 2"/>
        <xdr:cNvSpPr/>
      </xdr:nvSpPr>
      <xdr:spPr>
        <a:xfrm rot="5400000">
          <a:off x="11229984524" y="13754100"/>
          <a:ext cx="161925" cy="181927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endParaRPr lang="he-IL"/>
        </a:p>
      </xdr:txBody>
    </xdr:sp>
    <xdr:clientData/>
  </xdr:twoCellAnchor>
  <xdr:twoCellAnchor>
    <xdr:from>
      <xdr:col>8</xdr:col>
      <xdr:colOff>209550</xdr:colOff>
      <xdr:row>287</xdr:row>
      <xdr:rowOff>0</xdr:rowOff>
    </xdr:from>
    <xdr:to>
      <xdr:col>9</xdr:col>
      <xdr:colOff>352426</xdr:colOff>
      <xdr:row>287</xdr:row>
      <xdr:rowOff>161925</xdr:rowOff>
    </xdr:to>
    <xdr:sp macro="" textlink="">
      <xdr:nvSpPr>
        <xdr:cNvPr id="4" name="סוגר מסולסל שמאלי 3"/>
        <xdr:cNvSpPr/>
      </xdr:nvSpPr>
      <xdr:spPr>
        <a:xfrm rot="5400000">
          <a:off x="11230165499" y="55454550"/>
          <a:ext cx="161925" cy="94297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endParaRPr lang="he-I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73" name="AutoShape 2"/>
        <xdr:cNvSpPr>
          <a:spLocks/>
        </xdr:cNvSpPr>
      </xdr:nvSpPr>
      <xdr:spPr bwMode="auto">
        <a:xfrm rot="5400000">
          <a:off x="170440350" y="-561975"/>
          <a:ext cx="0" cy="1123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74" name="AutoShape 7"/>
        <xdr:cNvSpPr>
          <a:spLocks/>
        </xdr:cNvSpPr>
      </xdr:nvSpPr>
      <xdr:spPr bwMode="auto">
        <a:xfrm rot="5400000">
          <a:off x="170440350" y="-561975"/>
          <a:ext cx="0" cy="1123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5120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אקויטי</a:t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151780875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ירידת ערך</a:t>
          </a:r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151209375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ה.ה.מ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514350</xdr:colOff>
      <xdr:row>0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51304625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מדיניות ציוד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51209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אקויטי</a:t>
          </a:r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51209375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מדיניות ציוד</a:t>
          </a:r>
        </a:p>
      </xdr:txBody>
    </xdr:sp>
    <xdr:clientData/>
  </xdr:twoCellAnchor>
  <xdr:twoCellAnchor>
    <xdr:from>
      <xdr:col>6</xdr:col>
      <xdr:colOff>704850</xdr:colOff>
      <xdr:row>0</xdr:row>
      <xdr:rowOff>0</xdr:rowOff>
    </xdr:from>
    <xdr:to>
      <xdr:col>7</xdr:col>
      <xdr:colOff>561975</xdr:colOff>
      <xdr:row>0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5186660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ביטול ירידת ערך ש.ק</a:t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428625</xdr:colOff>
      <xdr:row>0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151390350" y="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he-I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אקויטי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7"/>
  <sheetViews>
    <sheetView rightToLeft="1" topLeftCell="A43" workbookViewId="0">
      <selection activeCell="D57" sqref="D57"/>
    </sheetView>
  </sheetViews>
  <sheetFormatPr defaultRowHeight="14.25"/>
  <cols>
    <col min="2" max="2" width="9.125" customWidth="1"/>
    <col min="3" max="3" width="17.125" customWidth="1"/>
    <col min="4" max="4" width="11.875" customWidth="1"/>
    <col min="5" max="5" width="13" customWidth="1"/>
    <col min="6" max="6" width="11.5" style="2" customWidth="1"/>
  </cols>
  <sheetData>
    <row r="2" spans="1:12" ht="15">
      <c r="A2" s="8" t="s">
        <v>0</v>
      </c>
      <c r="L2" s="8"/>
    </row>
    <row r="4" spans="1:12">
      <c r="A4" t="s">
        <v>1</v>
      </c>
      <c r="E4" s="7">
        <v>10000000</v>
      </c>
    </row>
    <row r="5" spans="1:12">
      <c r="E5" s="7"/>
    </row>
    <row r="6" spans="1:12">
      <c r="A6" s="1" t="s">
        <v>2</v>
      </c>
      <c r="E6" s="7"/>
    </row>
    <row r="7" spans="1:12">
      <c r="A7" t="s">
        <v>3</v>
      </c>
      <c r="E7" s="7">
        <f>6000000/15</f>
        <v>400000</v>
      </c>
      <c r="F7" s="2" t="s">
        <v>4</v>
      </c>
    </row>
    <row r="8" spans="1:12">
      <c r="A8" t="s">
        <v>5</v>
      </c>
      <c r="E8" s="7">
        <v>500000</v>
      </c>
    </row>
    <row r="9" spans="1:12">
      <c r="A9" t="s">
        <v>6</v>
      </c>
      <c r="E9" s="7">
        <f>0.7*30000000/23*3/12</f>
        <v>228260.86956521738</v>
      </c>
      <c r="F9" s="2" t="s">
        <v>7</v>
      </c>
    </row>
    <row r="10" spans="1:12">
      <c r="A10" t="s">
        <v>8</v>
      </c>
      <c r="E10" s="7">
        <f>600000/5*6/12</f>
        <v>60000</v>
      </c>
      <c r="F10" s="2" t="s">
        <v>557</v>
      </c>
    </row>
    <row r="11" spans="1:12">
      <c r="A11" t="s">
        <v>9</v>
      </c>
      <c r="E11" s="7">
        <v>1000000</v>
      </c>
    </row>
    <row r="12" spans="1:12" ht="16.5">
      <c r="A12" t="s">
        <v>10</v>
      </c>
      <c r="E12" s="11">
        <v>80000</v>
      </c>
    </row>
    <row r="13" spans="1:12">
      <c r="A13" t="s">
        <v>11</v>
      </c>
      <c r="E13" s="7">
        <f>SUM(E7:E12)</f>
        <v>2268260.8695652173</v>
      </c>
    </row>
    <row r="14" spans="1:12">
      <c r="E14" s="7"/>
    </row>
    <row r="15" spans="1:12">
      <c r="A15" s="1" t="s">
        <v>12</v>
      </c>
      <c r="E15" s="7"/>
    </row>
    <row r="16" spans="1:12">
      <c r="A16" t="s">
        <v>13</v>
      </c>
      <c r="E16" s="7">
        <f>-6000000/10</f>
        <v>-600000</v>
      </c>
      <c r="F16" s="2" t="s">
        <v>14</v>
      </c>
    </row>
    <row r="17" spans="1:6">
      <c r="A17" t="s">
        <v>15</v>
      </c>
      <c r="E17" s="7">
        <f>E16*0.2</f>
        <v>-120000</v>
      </c>
      <c r="F17" s="2" t="s">
        <v>16</v>
      </c>
    </row>
    <row r="18" spans="1:6">
      <c r="A18" t="s">
        <v>17</v>
      </c>
      <c r="E18" s="7">
        <v>-30000</v>
      </c>
      <c r="F18" s="2" t="s">
        <v>18</v>
      </c>
    </row>
    <row r="19" spans="1:6">
      <c r="A19" t="s">
        <v>19</v>
      </c>
      <c r="E19" s="7">
        <f>-700000/3</f>
        <v>-233333.33333333334</v>
      </c>
      <c r="F19" s="2" t="s">
        <v>20</v>
      </c>
    </row>
    <row r="20" spans="1:6">
      <c r="A20" t="s">
        <v>21</v>
      </c>
      <c r="E20" s="7">
        <f>-D72</f>
        <v>-737500</v>
      </c>
      <c r="F20" s="2" t="s">
        <v>22</v>
      </c>
    </row>
    <row r="21" spans="1:6">
      <c r="A21" t="s">
        <v>23</v>
      </c>
      <c r="E21" s="7">
        <v>-6000000</v>
      </c>
      <c r="F21" s="3" t="s">
        <v>24</v>
      </c>
    </row>
    <row r="22" spans="1:6">
      <c r="A22" t="s">
        <v>25</v>
      </c>
      <c r="E22" s="7">
        <v>-420000</v>
      </c>
      <c r="F22" s="2" t="s">
        <v>26</v>
      </c>
    </row>
    <row r="23" spans="1:6">
      <c r="A23" t="s">
        <v>27</v>
      </c>
      <c r="E23" s="7">
        <v>-250000</v>
      </c>
    </row>
    <row r="24" spans="1:6">
      <c r="A24" t="s">
        <v>28</v>
      </c>
      <c r="E24" s="7">
        <f>-100000*0.5</f>
        <v>-50000</v>
      </c>
      <c r="F24" s="2" t="s">
        <v>558</v>
      </c>
    </row>
    <row r="25" spans="1:6">
      <c r="A25" t="s">
        <v>29</v>
      </c>
      <c r="E25" s="7">
        <v>-100000</v>
      </c>
      <c r="F25" s="2" t="s">
        <v>30</v>
      </c>
    </row>
    <row r="26" spans="1:6" ht="16.5">
      <c r="A26" t="s">
        <v>31</v>
      </c>
      <c r="E26" s="11">
        <v>-1000000</v>
      </c>
    </row>
    <row r="27" spans="1:6">
      <c r="A27" t="s">
        <v>32</v>
      </c>
      <c r="E27" s="7">
        <f>SUM(E16:E26)</f>
        <v>-9540833.333333334</v>
      </c>
    </row>
    <row r="28" spans="1:6">
      <c r="E28" s="7"/>
    </row>
    <row r="29" spans="1:6">
      <c r="A29" t="s">
        <v>33</v>
      </c>
      <c r="E29" s="7">
        <f>E4+E13+E27</f>
        <v>2727427.5362318829</v>
      </c>
    </row>
    <row r="30" spans="1:6">
      <c r="E30" s="7"/>
    </row>
    <row r="31" spans="1:6">
      <c r="A31" t="s">
        <v>34</v>
      </c>
      <c r="E31" s="7">
        <f>E29*20%-80000*0.35</f>
        <v>517485.5072463766</v>
      </c>
      <c r="F31" s="2" t="s">
        <v>559</v>
      </c>
    </row>
    <row r="33" spans="1:8" ht="15">
      <c r="A33" s="8" t="s">
        <v>35</v>
      </c>
      <c r="E33" s="7"/>
    </row>
    <row r="35" spans="1:8" ht="33">
      <c r="C35" s="9">
        <v>40543</v>
      </c>
      <c r="D35" s="10" t="s">
        <v>36</v>
      </c>
      <c r="E35" s="10" t="s">
        <v>37</v>
      </c>
      <c r="F35" s="9">
        <v>40908</v>
      </c>
      <c r="G35" s="10" t="s">
        <v>44</v>
      </c>
    </row>
    <row r="36" spans="1:8">
      <c r="A36" t="s">
        <v>38</v>
      </c>
      <c r="C36" s="7">
        <f>D81</f>
        <v>0</v>
      </c>
      <c r="D36" s="7">
        <f t="shared" ref="D36:D42" si="0">F36-E36-C36</f>
        <v>-40000</v>
      </c>
      <c r="E36" s="7"/>
      <c r="F36" s="7">
        <f>E81</f>
        <v>-40000</v>
      </c>
      <c r="G36">
        <v>2</v>
      </c>
    </row>
    <row r="37" spans="1:8">
      <c r="A37" t="s">
        <v>17</v>
      </c>
      <c r="C37" s="7">
        <f>D90</f>
        <v>0</v>
      </c>
      <c r="D37" s="7">
        <f t="shared" si="0"/>
        <v>-6000</v>
      </c>
      <c r="E37" s="7">
        <f>D93</f>
        <v>18000</v>
      </c>
      <c r="F37" s="7">
        <f>E90</f>
        <v>12000</v>
      </c>
      <c r="G37">
        <v>3</v>
      </c>
    </row>
    <row r="38" spans="1:8">
      <c r="A38" t="s">
        <v>39</v>
      </c>
      <c r="C38" s="7">
        <f>D105</f>
        <v>33333.333333333336</v>
      </c>
      <c r="D38" s="7">
        <f t="shared" si="0"/>
        <v>46666.666666666664</v>
      </c>
      <c r="E38" s="7"/>
      <c r="F38" s="7">
        <f>E105</f>
        <v>80000</v>
      </c>
      <c r="G38">
        <v>4</v>
      </c>
    </row>
    <row r="39" spans="1:8">
      <c r="A39" t="s">
        <v>40</v>
      </c>
      <c r="C39" s="7">
        <f>D114</f>
        <v>84375</v>
      </c>
      <c r="D39" s="7">
        <f t="shared" si="0"/>
        <v>-164375</v>
      </c>
      <c r="E39" s="7"/>
      <c r="F39" s="7">
        <f>E114</f>
        <v>-80000</v>
      </c>
      <c r="G39">
        <v>5</v>
      </c>
    </row>
    <row r="40" spans="1:8">
      <c r="A40" t="s">
        <v>41</v>
      </c>
      <c r="C40" s="7">
        <f>D128</f>
        <v>-2381249.9999999995</v>
      </c>
      <c r="D40" s="7">
        <f t="shared" si="0"/>
        <v>-762097.82608695654</v>
      </c>
      <c r="E40" s="7"/>
      <c r="F40" s="7">
        <f>E128</f>
        <v>-3143347.8260869561</v>
      </c>
      <c r="G40">
        <v>6</v>
      </c>
    </row>
    <row r="41" spans="1:8">
      <c r="A41" t="s">
        <v>42</v>
      </c>
      <c r="C41" s="7">
        <v>0</v>
      </c>
      <c r="D41" s="7">
        <f t="shared" si="0"/>
        <v>200000</v>
      </c>
      <c r="E41" s="7"/>
      <c r="F41" s="7">
        <f>0.2*1000000</f>
        <v>200000</v>
      </c>
      <c r="H41" s="2" t="s">
        <v>103</v>
      </c>
    </row>
    <row r="42" spans="1:8" ht="16.5">
      <c r="A42" t="s">
        <v>43</v>
      </c>
      <c r="C42" s="11">
        <f>D139</f>
        <v>100000</v>
      </c>
      <c r="D42" s="11">
        <f t="shared" si="0"/>
        <v>-40000</v>
      </c>
      <c r="E42" s="11"/>
      <c r="F42" s="11">
        <f>E139</f>
        <v>60000</v>
      </c>
      <c r="G42">
        <v>7</v>
      </c>
    </row>
    <row r="43" spans="1:8">
      <c r="A43" t="s">
        <v>52</v>
      </c>
      <c r="C43" s="7">
        <f>SUM(C36:C42)</f>
        <v>-2163541.666666666</v>
      </c>
      <c r="D43" s="7">
        <f>SUM(D36:D42)</f>
        <v>-765806.15942028991</v>
      </c>
      <c r="E43" s="7">
        <f>SUM(E36:E42)</f>
        <v>18000</v>
      </c>
      <c r="F43" s="7">
        <f>SUM(F36:F42)</f>
        <v>-2911347.8260869561</v>
      </c>
    </row>
    <row r="44" spans="1:8" ht="15">
      <c r="A44" s="12" t="s">
        <v>555</v>
      </c>
      <c r="C44" s="7"/>
      <c r="D44" s="7"/>
      <c r="E44" s="7"/>
      <c r="F44" s="7"/>
    </row>
    <row r="45" spans="1:8">
      <c r="A45" t="s">
        <v>556</v>
      </c>
      <c r="C45" s="7"/>
      <c r="D45" s="7"/>
      <c r="E45" s="7"/>
      <c r="F45" s="7"/>
    </row>
    <row r="47" spans="1:8" ht="15">
      <c r="A47" s="8" t="s">
        <v>45</v>
      </c>
    </row>
    <row r="49" spans="1:5">
      <c r="A49" t="s">
        <v>1</v>
      </c>
      <c r="D49" s="7">
        <v>10000000</v>
      </c>
      <c r="E49" s="4"/>
    </row>
    <row r="50" spans="1:5">
      <c r="A50" t="s">
        <v>46</v>
      </c>
      <c r="D50" s="5">
        <v>0.2</v>
      </c>
    </row>
    <row r="51" spans="1:5">
      <c r="A51" t="s">
        <v>47</v>
      </c>
      <c r="D51" s="7">
        <f>D49*D50</f>
        <v>2000000</v>
      </c>
    </row>
    <row r="52" spans="1:5">
      <c r="D52" s="7"/>
    </row>
    <row r="53" spans="1:5">
      <c r="A53" t="s">
        <v>48</v>
      </c>
      <c r="D53" s="7">
        <f>E17*D50</f>
        <v>-24000</v>
      </c>
      <c r="E53" s="2" t="s">
        <v>54</v>
      </c>
    </row>
    <row r="54" spans="1:5">
      <c r="A54" t="s">
        <v>55</v>
      </c>
      <c r="D54" s="7">
        <f>C43/0.25*0.05</f>
        <v>-432708.33333333326</v>
      </c>
      <c r="E54" s="2" t="s">
        <v>56</v>
      </c>
    </row>
    <row r="55" spans="1:5">
      <c r="A55" t="s">
        <v>57</v>
      </c>
      <c r="D55" s="7">
        <f>D50*E23</f>
        <v>-50000</v>
      </c>
      <c r="E55" s="2" t="s">
        <v>58</v>
      </c>
    </row>
    <row r="56" spans="1:5">
      <c r="A56" t="s">
        <v>59</v>
      </c>
      <c r="D56" s="7">
        <f>(E24+E10)*D50</f>
        <v>2000</v>
      </c>
      <c r="E56" s="2" t="s">
        <v>560</v>
      </c>
    </row>
    <row r="57" spans="1:5">
      <c r="A57" t="s">
        <v>60</v>
      </c>
      <c r="D57" s="7">
        <f>E12*(D50-0.35)</f>
        <v>-11999.999999999998</v>
      </c>
      <c r="E57" s="2" t="s">
        <v>561</v>
      </c>
    </row>
    <row r="58" spans="1:5">
      <c r="A58" t="s">
        <v>53</v>
      </c>
      <c r="D58" s="7">
        <f>C146</f>
        <v>500000</v>
      </c>
      <c r="E58" s="2"/>
    </row>
    <row r="59" spans="1:5">
      <c r="A59" t="s">
        <v>61</v>
      </c>
      <c r="D59" s="7">
        <f>D50*E26</f>
        <v>-200000</v>
      </c>
      <c r="E59" s="2" t="s">
        <v>62</v>
      </c>
    </row>
    <row r="60" spans="1:5">
      <c r="D60" s="7"/>
      <c r="E60" s="2"/>
    </row>
    <row r="61" spans="1:5">
      <c r="A61" t="s">
        <v>63</v>
      </c>
      <c r="D61" s="7">
        <f>SUM(D51:D59)</f>
        <v>1783291.6666666667</v>
      </c>
      <c r="E61" s="2" t="s">
        <v>107</v>
      </c>
    </row>
    <row r="62" spans="1:5">
      <c r="E62" s="2"/>
    </row>
    <row r="63" spans="1:5">
      <c r="A63" t="s">
        <v>64</v>
      </c>
      <c r="E63" s="2"/>
    </row>
    <row r="65" spans="1:6">
      <c r="A65" s="6" t="s">
        <v>65</v>
      </c>
    </row>
    <row r="67" spans="1:6">
      <c r="A67" t="s">
        <v>66</v>
      </c>
      <c r="D67" s="7">
        <f>500000+650000+800000</f>
        <v>1950000</v>
      </c>
      <c r="E67" s="2" t="s">
        <v>67</v>
      </c>
    </row>
    <row r="68" spans="1:6">
      <c r="A68" t="s">
        <v>68</v>
      </c>
      <c r="D68" s="7">
        <f>D67/3</f>
        <v>650000</v>
      </c>
      <c r="E68" s="2" t="s">
        <v>69</v>
      </c>
    </row>
    <row r="69" spans="1:6">
      <c r="D69" s="7"/>
      <c r="E69" s="2"/>
    </row>
    <row r="70" spans="1:6">
      <c r="A70" t="s">
        <v>70</v>
      </c>
      <c r="D70" s="7">
        <f>500000+650000+400000</f>
        <v>1550000</v>
      </c>
      <c r="E70" s="2" t="s">
        <v>71</v>
      </c>
    </row>
    <row r="71" spans="1:6">
      <c r="A71" t="s">
        <v>72</v>
      </c>
      <c r="D71" s="7">
        <f>D68*1.25</f>
        <v>812500</v>
      </c>
      <c r="E71" s="2" t="s">
        <v>73</v>
      </c>
    </row>
    <row r="72" spans="1:6">
      <c r="A72" t="s">
        <v>74</v>
      </c>
      <c r="D72" s="7">
        <f>D70-D71</f>
        <v>737500</v>
      </c>
      <c r="E72" s="2"/>
    </row>
    <row r="73" spans="1:6">
      <c r="E73" s="2"/>
    </row>
    <row r="74" spans="1:6">
      <c r="A74" s="6" t="s">
        <v>75</v>
      </c>
      <c r="E74" s="2"/>
    </row>
    <row r="75" spans="1:6">
      <c r="E75" s="2"/>
    </row>
    <row r="76" spans="1:6" ht="16.5">
      <c r="D76" s="9">
        <v>40543</v>
      </c>
      <c r="E76" s="9">
        <v>40908</v>
      </c>
    </row>
    <row r="77" spans="1:6">
      <c r="B77" t="s">
        <v>76</v>
      </c>
      <c r="D77" s="7">
        <v>0</v>
      </c>
      <c r="E77" s="7">
        <v>5600000</v>
      </c>
      <c r="F77" s="2" t="s">
        <v>81</v>
      </c>
    </row>
    <row r="78" spans="1:6">
      <c r="B78" t="s">
        <v>77</v>
      </c>
      <c r="D78" s="7">
        <v>0</v>
      </c>
      <c r="E78" s="7">
        <v>-5400000</v>
      </c>
      <c r="F78" s="2" t="s">
        <v>82</v>
      </c>
    </row>
    <row r="79" spans="1:6">
      <c r="B79" t="s">
        <v>78</v>
      </c>
      <c r="D79" s="7">
        <f>D77+D78</f>
        <v>0</v>
      </c>
      <c r="E79" s="7">
        <f>E77+E78</f>
        <v>200000</v>
      </c>
    </row>
    <row r="80" spans="1:6">
      <c r="B80" t="s">
        <v>79</v>
      </c>
      <c r="D80" s="5">
        <v>0.25</v>
      </c>
      <c r="E80" s="5">
        <v>0.2</v>
      </c>
    </row>
    <row r="81" spans="1:6">
      <c r="B81" t="s">
        <v>80</v>
      </c>
      <c r="D81" s="7">
        <f>-D79*D80</f>
        <v>0</v>
      </c>
      <c r="E81" s="7">
        <f>-E79*E80</f>
        <v>-40000</v>
      </c>
    </row>
    <row r="82" spans="1:6">
      <c r="E82" s="2"/>
    </row>
    <row r="83" spans="1:6">
      <c r="A83" s="6" t="s">
        <v>83</v>
      </c>
      <c r="E83" s="2"/>
    </row>
    <row r="84" spans="1:6">
      <c r="E84" s="2"/>
    </row>
    <row r="85" spans="1:6" ht="16.5">
      <c r="D85" s="9">
        <v>40543</v>
      </c>
      <c r="E85" s="9">
        <v>40908</v>
      </c>
    </row>
    <row r="86" spans="1:6">
      <c r="B86" t="s">
        <v>76</v>
      </c>
      <c r="D86" s="7">
        <v>0</v>
      </c>
      <c r="E86" s="7">
        <v>0</v>
      </c>
    </row>
    <row r="87" spans="1:6">
      <c r="B87" t="s">
        <v>77</v>
      </c>
      <c r="D87" s="7">
        <v>0</v>
      </c>
      <c r="E87" s="7">
        <f>-90000*2/3</f>
        <v>-60000</v>
      </c>
      <c r="F87" s="2" t="s">
        <v>84</v>
      </c>
    </row>
    <row r="88" spans="1:6">
      <c r="B88" t="s">
        <v>78</v>
      </c>
      <c r="D88" s="7">
        <f>D86+D87</f>
        <v>0</v>
      </c>
      <c r="E88" s="7">
        <f>E86+E87</f>
        <v>-60000</v>
      </c>
    </row>
    <row r="89" spans="1:6">
      <c r="B89" t="s">
        <v>79</v>
      </c>
      <c r="D89" s="5">
        <v>0.25</v>
      </c>
      <c r="E89" s="5">
        <v>0.2</v>
      </c>
    </row>
    <row r="90" spans="1:6">
      <c r="B90" t="s">
        <v>80</v>
      </c>
      <c r="D90" s="7">
        <f>-D88*D89</f>
        <v>0</v>
      </c>
      <c r="E90" s="7">
        <f>-E88*E89</f>
        <v>12000</v>
      </c>
    </row>
    <row r="91" spans="1:6">
      <c r="E91" s="2"/>
    </row>
    <row r="92" spans="1:6">
      <c r="B92" t="s">
        <v>85</v>
      </c>
      <c r="E92" s="2"/>
    </row>
    <row r="93" spans="1:6">
      <c r="B93" t="s">
        <v>86</v>
      </c>
      <c r="D93" s="7">
        <f>90000*0.2</f>
        <v>18000</v>
      </c>
      <c r="E93" s="2"/>
    </row>
    <row r="94" spans="1:6">
      <c r="B94" t="s">
        <v>87</v>
      </c>
      <c r="D94" s="7">
        <f>E90-D93</f>
        <v>-6000</v>
      </c>
      <c r="E94" s="2"/>
    </row>
    <row r="95" spans="1:6">
      <c r="E95" s="2"/>
    </row>
    <row r="96" spans="1:6">
      <c r="B96" t="s">
        <v>88</v>
      </c>
      <c r="E96" s="2"/>
    </row>
    <row r="97" spans="1:6">
      <c r="E97" s="2"/>
    </row>
    <row r="98" spans="1:6">
      <c r="A98" s="6" t="s">
        <v>89</v>
      </c>
      <c r="E98" s="2"/>
    </row>
    <row r="99" spans="1:6">
      <c r="E99" s="2"/>
    </row>
    <row r="100" spans="1:6" ht="16.5">
      <c r="D100" s="9">
        <v>40543</v>
      </c>
      <c r="E100" s="9">
        <v>40908</v>
      </c>
    </row>
    <row r="101" spans="1:6">
      <c r="B101" t="s">
        <v>76</v>
      </c>
      <c r="D101" s="7">
        <v>0</v>
      </c>
      <c r="E101" s="7">
        <v>0</v>
      </c>
    </row>
    <row r="102" spans="1:6">
      <c r="B102" t="s">
        <v>77</v>
      </c>
      <c r="D102" s="7">
        <f>-200000*2/3</f>
        <v>-133333.33333333334</v>
      </c>
      <c r="E102" s="7">
        <f>-200000*1/3-500000*2/3</f>
        <v>-400000</v>
      </c>
      <c r="F102" s="2" t="s">
        <v>90</v>
      </c>
    </row>
    <row r="103" spans="1:6">
      <c r="B103" t="s">
        <v>78</v>
      </c>
      <c r="D103" s="7">
        <f>D101+D102</f>
        <v>-133333.33333333334</v>
      </c>
      <c r="E103" s="7">
        <f>E101+E102</f>
        <v>-400000</v>
      </c>
    </row>
    <row r="104" spans="1:6">
      <c r="B104" t="s">
        <v>79</v>
      </c>
      <c r="D104" s="5">
        <v>0.25</v>
      </c>
      <c r="E104" s="5">
        <v>0.2</v>
      </c>
    </row>
    <row r="105" spans="1:6">
      <c r="B105" t="s">
        <v>80</v>
      </c>
      <c r="D105" s="7">
        <f>-D103*D104</f>
        <v>33333.333333333336</v>
      </c>
      <c r="E105" s="7">
        <f>-E103*E104</f>
        <v>80000</v>
      </c>
    </row>
    <row r="106" spans="1:6">
      <c r="E106" s="2"/>
    </row>
    <row r="107" spans="1:6">
      <c r="A107" s="6" t="s">
        <v>91</v>
      </c>
      <c r="E107" s="2"/>
    </row>
    <row r="108" spans="1:6">
      <c r="E108" s="2"/>
    </row>
    <row r="109" spans="1:6" ht="16.5">
      <c r="D109" s="9">
        <v>40543</v>
      </c>
      <c r="E109" s="9">
        <v>40908</v>
      </c>
    </row>
    <row r="110" spans="1:6">
      <c r="B110" t="s">
        <v>96</v>
      </c>
      <c r="D110" s="7">
        <f>D119</f>
        <v>-337500</v>
      </c>
      <c r="E110" s="7">
        <v>400000</v>
      </c>
    </row>
    <row r="111" spans="1:6">
      <c r="B111" t="s">
        <v>97</v>
      </c>
      <c r="D111" s="7">
        <v>0</v>
      </c>
      <c r="E111" s="7">
        <v>0</v>
      </c>
    </row>
    <row r="112" spans="1:6">
      <c r="B112" t="s">
        <v>78</v>
      </c>
      <c r="D112" s="7">
        <f>D110+D111</f>
        <v>-337500</v>
      </c>
      <c r="E112" s="7">
        <f>E110+E111</f>
        <v>400000</v>
      </c>
    </row>
    <row r="113" spans="1:6">
      <c r="B113" t="s">
        <v>79</v>
      </c>
      <c r="D113" s="5">
        <v>0.25</v>
      </c>
      <c r="E113" s="5">
        <v>0.2</v>
      </c>
    </row>
    <row r="114" spans="1:6">
      <c r="B114" t="s">
        <v>80</v>
      </c>
      <c r="D114" s="7">
        <f>-D112*D113</f>
        <v>84375</v>
      </c>
      <c r="E114" s="7">
        <f>-E112*E113</f>
        <v>-80000</v>
      </c>
    </row>
    <row r="115" spans="1:6">
      <c r="E115" s="2"/>
    </row>
    <row r="116" spans="1:6">
      <c r="A116" t="s">
        <v>92</v>
      </c>
      <c r="E116" s="2"/>
    </row>
    <row r="117" spans="1:6">
      <c r="A117" t="s">
        <v>93</v>
      </c>
      <c r="D117" s="7">
        <f>D71</f>
        <v>812500</v>
      </c>
      <c r="E117" s="2"/>
    </row>
    <row r="118" spans="1:6">
      <c r="A118" t="s">
        <v>94</v>
      </c>
      <c r="D118" s="7">
        <f>500000+650000</f>
        <v>1150000</v>
      </c>
      <c r="E118" s="2" t="s">
        <v>95</v>
      </c>
    </row>
    <row r="119" spans="1:6">
      <c r="A119" t="s">
        <v>92</v>
      </c>
      <c r="D119" s="7">
        <f>D117-D118</f>
        <v>-337500</v>
      </c>
    </row>
    <row r="121" spans="1:6">
      <c r="A121" s="6" t="s">
        <v>98</v>
      </c>
      <c r="E121" s="2"/>
    </row>
    <row r="122" spans="1:6">
      <c r="E122" s="2"/>
    </row>
    <row r="123" spans="1:6" ht="16.5">
      <c r="D123" s="9">
        <v>40543</v>
      </c>
      <c r="E123" s="9">
        <v>40908</v>
      </c>
    </row>
    <row r="124" spans="1:6">
      <c r="B124" t="s">
        <v>76</v>
      </c>
      <c r="D124" s="7">
        <v>24000000</v>
      </c>
      <c r="E124" s="7">
        <f>30000000-E9</f>
        <v>29771739.130434781</v>
      </c>
      <c r="F124" s="2" t="s">
        <v>99</v>
      </c>
    </row>
    <row r="125" spans="1:6">
      <c r="B125" t="s">
        <v>97</v>
      </c>
      <c r="D125" s="7">
        <f>-15000000*(0.3+0.7*23.75/25)</f>
        <v>-14475000.000000002</v>
      </c>
      <c r="E125" s="7">
        <f>D125-E22</f>
        <v>-14055000.000000002</v>
      </c>
      <c r="F125" s="2" t="s">
        <v>102</v>
      </c>
    </row>
    <row r="126" spans="1:6">
      <c r="B126" t="s">
        <v>78</v>
      </c>
      <c r="D126" s="7">
        <f>D124+D125</f>
        <v>9524999.9999999981</v>
      </c>
      <c r="E126" s="7">
        <f>E124+E125</f>
        <v>15716739.130434779</v>
      </c>
    </row>
    <row r="127" spans="1:6">
      <c r="B127" t="s">
        <v>79</v>
      </c>
      <c r="D127" s="5">
        <v>0.25</v>
      </c>
      <c r="E127" s="5">
        <v>0.2</v>
      </c>
    </row>
    <row r="128" spans="1:6">
      <c r="B128" t="s">
        <v>80</v>
      </c>
      <c r="D128" s="7">
        <f>-D126*D127</f>
        <v>-2381249.9999999995</v>
      </c>
      <c r="E128" s="7">
        <f>-E126*E127</f>
        <v>-3143347.8260869561</v>
      </c>
    </row>
    <row r="130" spans="1:5">
      <c r="B130" t="s">
        <v>100</v>
      </c>
      <c r="D130">
        <f>15000000*(0.3+0.7*23.75/25)</f>
        <v>14475000.000000002</v>
      </c>
      <c r="E130" s="2" t="s">
        <v>101</v>
      </c>
    </row>
    <row r="132" spans="1:5">
      <c r="A132" s="6" t="s">
        <v>104</v>
      </c>
      <c r="E132" s="2"/>
    </row>
    <row r="133" spans="1:5">
      <c r="E133" s="2"/>
    </row>
    <row r="134" spans="1:5" ht="16.5">
      <c r="D134" s="9">
        <v>40543</v>
      </c>
      <c r="E134" s="9">
        <v>40908</v>
      </c>
    </row>
    <row r="135" spans="1:5">
      <c r="B135" t="s">
        <v>105</v>
      </c>
      <c r="D135" s="7">
        <v>-400000</v>
      </c>
      <c r="E135" s="7">
        <v>-300000</v>
      </c>
    </row>
    <row r="136" spans="1:5">
      <c r="B136" t="s">
        <v>97</v>
      </c>
      <c r="D136" s="7">
        <v>0</v>
      </c>
      <c r="E136" s="7">
        <v>0</v>
      </c>
    </row>
    <row r="137" spans="1:5">
      <c r="B137" t="s">
        <v>78</v>
      </c>
      <c r="D137" s="7">
        <f>D135+D136</f>
        <v>-400000</v>
      </c>
      <c r="E137" s="7">
        <f>E135+E136</f>
        <v>-300000</v>
      </c>
    </row>
    <row r="138" spans="1:5">
      <c r="B138" t="s">
        <v>79</v>
      </c>
      <c r="D138" s="5">
        <v>0.25</v>
      </c>
      <c r="E138" s="5">
        <v>0.2</v>
      </c>
    </row>
    <row r="139" spans="1:5">
      <c r="B139" t="s">
        <v>80</v>
      </c>
      <c r="D139" s="7">
        <f>-D137*D138</f>
        <v>100000</v>
      </c>
      <c r="E139" s="7">
        <f>-E137*E138</f>
        <v>60000</v>
      </c>
    </row>
    <row r="141" spans="1:5">
      <c r="A141" s="6" t="s">
        <v>106</v>
      </c>
    </row>
    <row r="143" spans="1:5">
      <c r="A143" t="s">
        <v>49</v>
      </c>
    </row>
    <row r="144" spans="1:5">
      <c r="A144" t="s">
        <v>50</v>
      </c>
      <c r="C144" s="7">
        <f>E31</f>
        <v>517485.5072463766</v>
      </c>
    </row>
    <row r="145" spans="1:3">
      <c r="A145" t="s">
        <v>51</v>
      </c>
      <c r="C145" s="7">
        <f>-D43</f>
        <v>765806.15942028991</v>
      </c>
    </row>
    <row r="146" spans="1:3" ht="16.5">
      <c r="A146" t="s">
        <v>53</v>
      </c>
      <c r="C146" s="11">
        <v>500000</v>
      </c>
    </row>
    <row r="147" spans="1:3">
      <c r="A147" t="s">
        <v>52</v>
      </c>
      <c r="C147" s="7">
        <f>SUM(C144:C146)</f>
        <v>1783291.6666666665</v>
      </c>
    </row>
  </sheetData>
  <sheetProtection password="D3EB" sheet="1" objects="1" scenarios="1"/>
  <phoneticPr fontId="0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835"/>
  <sheetViews>
    <sheetView rightToLeft="1" topLeftCell="A106" workbookViewId="0">
      <selection activeCell="D116" sqref="D116"/>
    </sheetView>
  </sheetViews>
  <sheetFormatPr defaultRowHeight="14.25"/>
  <cols>
    <col min="1" max="1" width="9.5" bestFit="1" customWidth="1"/>
    <col min="3" max="3" width="9.875" bestFit="1" customWidth="1"/>
    <col min="4" max="4" width="10.875" bestFit="1" customWidth="1"/>
    <col min="5" max="5" width="11" bestFit="1" customWidth="1"/>
    <col min="6" max="6" width="11.5" bestFit="1" customWidth="1"/>
    <col min="7" max="7" width="13.125" customWidth="1"/>
    <col min="9" max="9" width="10.5" bestFit="1" customWidth="1"/>
    <col min="12" max="12" width="10.5" bestFit="1" customWidth="1"/>
    <col min="14" max="14" width="9.5" bestFit="1" customWidth="1"/>
  </cols>
  <sheetData>
    <row r="3" spans="1:13" ht="27.75">
      <c r="B3" s="34" t="s">
        <v>285</v>
      </c>
    </row>
    <row r="5" spans="1:13" ht="15">
      <c r="B5" s="12" t="s">
        <v>286</v>
      </c>
      <c r="C5" s="12"/>
      <c r="D5" s="12"/>
      <c r="E5" s="12"/>
      <c r="F5" s="12"/>
    </row>
    <row r="7" spans="1:13" ht="15">
      <c r="F7" s="35" t="s">
        <v>287</v>
      </c>
      <c r="M7" s="35" t="s">
        <v>288</v>
      </c>
    </row>
    <row r="8" spans="1:13" ht="15">
      <c r="M8" s="36"/>
    </row>
    <row r="9" spans="1:13" ht="15">
      <c r="A9" s="37">
        <v>0.2</v>
      </c>
      <c r="B9" t="s">
        <v>289</v>
      </c>
      <c r="C9" t="s">
        <v>112</v>
      </c>
      <c r="F9" s="38">
        <v>200000</v>
      </c>
      <c r="M9" s="36" t="s">
        <v>290</v>
      </c>
    </row>
    <row r="10" spans="1:13" ht="15">
      <c r="C10" t="s">
        <v>291</v>
      </c>
      <c r="F10" s="38">
        <f>150000*0.2</f>
        <v>30000</v>
      </c>
      <c r="K10" t="s">
        <v>292</v>
      </c>
      <c r="M10" s="36"/>
    </row>
    <row r="11" spans="1:13" ht="15">
      <c r="C11" t="s">
        <v>293</v>
      </c>
      <c r="F11" s="38"/>
      <c r="M11" s="36"/>
    </row>
    <row r="12" spans="1:13" ht="15">
      <c r="D12" t="s">
        <v>294</v>
      </c>
      <c r="F12" s="38">
        <f>J142+J143</f>
        <v>-266.66666666666652</v>
      </c>
      <c r="K12" t="s">
        <v>295</v>
      </c>
      <c r="M12" s="36">
        <v>2</v>
      </c>
    </row>
    <row r="13" spans="1:13" ht="15">
      <c r="D13" t="s">
        <v>296</v>
      </c>
      <c r="F13" s="38">
        <f>J144+J145</f>
        <v>-73.333333333333258</v>
      </c>
      <c r="K13" t="s">
        <v>297</v>
      </c>
      <c r="M13" s="36">
        <v>2</v>
      </c>
    </row>
    <row r="14" spans="1:13" ht="15">
      <c r="D14" t="s">
        <v>298</v>
      </c>
      <c r="F14" s="38">
        <f>J148+J149</f>
        <v>-16.443809523809477</v>
      </c>
      <c r="K14" t="s">
        <v>299</v>
      </c>
      <c r="M14" s="36">
        <v>2</v>
      </c>
    </row>
    <row r="15" spans="1:13" ht="15">
      <c r="D15" t="s">
        <v>42</v>
      </c>
      <c r="F15" s="38">
        <f>J146+J147</f>
        <v>120</v>
      </c>
      <c r="K15" t="s">
        <v>300</v>
      </c>
      <c r="M15" s="36">
        <v>2</v>
      </c>
    </row>
    <row r="16" spans="1:13" ht="15">
      <c r="D16" t="s">
        <v>301</v>
      </c>
      <c r="F16" s="38">
        <f>J150+J151</f>
        <v>-341.70999999999958</v>
      </c>
      <c r="K16" t="s">
        <v>302</v>
      </c>
      <c r="M16" s="36" t="s">
        <v>303</v>
      </c>
    </row>
    <row r="17" spans="1:13" ht="15">
      <c r="C17" t="s">
        <v>304</v>
      </c>
      <c r="F17" s="38">
        <f>E182</f>
        <v>-860</v>
      </c>
      <c r="M17" s="36">
        <v>4</v>
      </c>
    </row>
    <row r="18" spans="1:13" ht="15">
      <c r="C18" t="s">
        <v>305</v>
      </c>
      <c r="F18" s="38">
        <f>I203</f>
        <v>1770</v>
      </c>
      <c r="K18" t="s">
        <v>306</v>
      </c>
      <c r="M18" s="36">
        <v>5</v>
      </c>
    </row>
    <row r="19" spans="1:13" ht="15">
      <c r="F19" s="38"/>
      <c r="M19" s="36"/>
    </row>
    <row r="20" spans="1:13" ht="15">
      <c r="B20" t="s">
        <v>307</v>
      </c>
      <c r="C20" t="s">
        <v>308</v>
      </c>
      <c r="F20" s="38">
        <f>SUM(F9:F18)</f>
        <v>230331.84619047621</v>
      </c>
      <c r="M20" s="36"/>
    </row>
    <row r="21" spans="1:13" ht="15">
      <c r="C21" t="s">
        <v>309</v>
      </c>
      <c r="F21" s="38">
        <v>0</v>
      </c>
      <c r="M21" s="36">
        <v>7</v>
      </c>
    </row>
    <row r="22" spans="1:13" ht="15">
      <c r="C22" t="s">
        <v>310</v>
      </c>
      <c r="F22" s="38">
        <f>E279*-1</f>
        <v>14004.640784313742</v>
      </c>
      <c r="M22" s="36">
        <v>7</v>
      </c>
    </row>
    <row r="23" spans="1:13" ht="15">
      <c r="A23" s="37">
        <v>3.5294117647058825E-3</v>
      </c>
      <c r="B23" t="s">
        <v>307</v>
      </c>
      <c r="C23" t="s">
        <v>311</v>
      </c>
      <c r="F23" s="38">
        <f>SUM(F20:F22)</f>
        <v>244336.48697478994</v>
      </c>
      <c r="M23" s="36">
        <v>1</v>
      </c>
    </row>
    <row r="24" spans="1:13" ht="15">
      <c r="A24" s="37"/>
      <c r="F24" s="38"/>
      <c r="M24" s="36"/>
    </row>
    <row r="25" spans="1:13" ht="15">
      <c r="C25" t="s">
        <v>291</v>
      </c>
      <c r="F25" s="38">
        <f>150000*6/17</f>
        <v>52941.176470588238</v>
      </c>
      <c r="K25" t="s">
        <v>312</v>
      </c>
      <c r="M25" s="36"/>
    </row>
    <row r="26" spans="1:13" ht="15">
      <c r="C26" t="s">
        <v>293</v>
      </c>
      <c r="F26" s="38"/>
      <c r="M26" s="36"/>
    </row>
    <row r="27" spans="1:13" ht="15">
      <c r="D27" t="s">
        <v>294</v>
      </c>
      <c r="F27" s="38">
        <f>F62/8*0.75*-1</f>
        <v>-1526.9607843137255</v>
      </c>
      <c r="K27" t="s">
        <v>313</v>
      </c>
      <c r="M27" s="36"/>
    </row>
    <row r="28" spans="1:13" ht="15">
      <c r="D28" t="s">
        <v>42</v>
      </c>
      <c r="F28" s="38">
        <f>F66*0.75*-1</f>
        <v>-2602.9411764705883</v>
      </c>
      <c r="K28" t="s">
        <v>314</v>
      </c>
      <c r="M28" s="36"/>
    </row>
    <row r="29" spans="1:13" ht="15">
      <c r="D29" t="s">
        <v>296</v>
      </c>
      <c r="F29" s="38">
        <f>F64*0.75*-1</f>
        <v>-3301.9607843137255</v>
      </c>
      <c r="K29" t="s">
        <v>315</v>
      </c>
      <c r="M29" s="36"/>
    </row>
    <row r="30" spans="1:13" ht="15">
      <c r="D30" t="s">
        <v>298</v>
      </c>
      <c r="F30" s="38">
        <f>F68/13*0.75*-1</f>
        <v>-583.38655462184886</v>
      </c>
      <c r="K30" t="s">
        <v>316</v>
      </c>
      <c r="M30" s="36"/>
    </row>
    <row r="31" spans="1:13" ht="15">
      <c r="D31" t="s">
        <v>301</v>
      </c>
      <c r="F31" s="38">
        <f>D238*0.2*0.75</f>
        <v>434.54999999999995</v>
      </c>
      <c r="K31" t="s">
        <v>317</v>
      </c>
      <c r="M31" s="36">
        <v>6</v>
      </c>
    </row>
    <row r="32" spans="1:13" ht="15">
      <c r="C32" t="s">
        <v>304</v>
      </c>
      <c r="F32" s="38">
        <f>E187</f>
        <v>4235.2941176470586</v>
      </c>
      <c r="M32" s="36">
        <v>4</v>
      </c>
    </row>
    <row r="33" spans="1:13" ht="15">
      <c r="C33" t="s">
        <v>305</v>
      </c>
      <c r="F33" s="38">
        <f>I207</f>
        <v>-7941.1764705882351</v>
      </c>
      <c r="K33" t="s">
        <v>318</v>
      </c>
      <c r="M33" s="36">
        <v>5</v>
      </c>
    </row>
    <row r="34" spans="1:13" ht="15">
      <c r="C34" t="s">
        <v>319</v>
      </c>
      <c r="F34" s="38">
        <f>I162</f>
        <v>23823.529411764706</v>
      </c>
      <c r="K34">
        <v>67500</v>
      </c>
      <c r="M34" s="36">
        <v>3</v>
      </c>
    </row>
    <row r="35" spans="1:13" ht="15">
      <c r="C35" t="s">
        <v>320</v>
      </c>
      <c r="F35" s="38">
        <f>I163</f>
        <v>-10688.725490196077</v>
      </c>
      <c r="K35" t="s">
        <v>321</v>
      </c>
      <c r="M35" s="36"/>
    </row>
    <row r="36" spans="1:13" ht="15">
      <c r="F36" s="38"/>
      <c r="M36" s="36"/>
    </row>
    <row r="37" spans="1:13" ht="15">
      <c r="B37" t="s">
        <v>322</v>
      </c>
      <c r="C37" t="s">
        <v>129</v>
      </c>
      <c r="F37" s="38">
        <f>SUM(F23:F35)</f>
        <v>299125.88571428566</v>
      </c>
      <c r="M37" s="36"/>
    </row>
    <row r="38" spans="1:13" ht="15">
      <c r="A38" s="37">
        <v>0.3</v>
      </c>
      <c r="B38" t="s">
        <v>323</v>
      </c>
      <c r="C38" t="s">
        <v>324</v>
      </c>
      <c r="F38" s="38">
        <f>F39-F37</f>
        <v>75130.81714285718</v>
      </c>
      <c r="G38" t="s">
        <v>325</v>
      </c>
      <c r="M38" s="36" t="s">
        <v>326</v>
      </c>
    </row>
    <row r="39" spans="1:13" ht="15">
      <c r="C39" t="s">
        <v>327</v>
      </c>
      <c r="F39" s="38">
        <f>E299</f>
        <v>374256.70285714284</v>
      </c>
      <c r="M39" s="36"/>
    </row>
    <row r="40" spans="1:13" ht="15">
      <c r="F40" s="38"/>
      <c r="M40" s="36"/>
    </row>
    <row r="41" spans="1:13" ht="15">
      <c r="C41" t="s">
        <v>291</v>
      </c>
      <c r="F41" s="38">
        <f>150000*0.3</f>
        <v>45000</v>
      </c>
      <c r="K41" t="s">
        <v>328</v>
      </c>
      <c r="M41" s="36"/>
    </row>
    <row r="42" spans="1:13" ht="15">
      <c r="C42" t="s">
        <v>293</v>
      </c>
      <c r="F42" s="38"/>
      <c r="M42" s="36"/>
    </row>
    <row r="43" spans="1:13" ht="15">
      <c r="D43" t="s">
        <v>298</v>
      </c>
      <c r="F43" s="38">
        <f>E292/12*0.75*-1</f>
        <v>-495.87857142857138</v>
      </c>
      <c r="K43" t="s">
        <v>329</v>
      </c>
      <c r="M43" s="36">
        <v>8</v>
      </c>
    </row>
    <row r="44" spans="1:13" ht="15">
      <c r="D44" t="s">
        <v>301</v>
      </c>
      <c r="F44" s="38">
        <f>D240*0.2*0.3/(6/17)*0.75</f>
        <v>406.21500000000003</v>
      </c>
      <c r="K44" t="s">
        <v>330</v>
      </c>
      <c r="M44" s="36" t="s">
        <v>331</v>
      </c>
    </row>
    <row r="45" spans="1:13" ht="15">
      <c r="C45" t="s">
        <v>332</v>
      </c>
      <c r="F45" s="38">
        <v>0</v>
      </c>
      <c r="M45" s="36">
        <v>3</v>
      </c>
    </row>
    <row r="46" spans="1:13" ht="15">
      <c r="C46" t="s">
        <v>319</v>
      </c>
      <c r="F46" s="38">
        <f>I170</f>
        <v>-9569.5539215686276</v>
      </c>
      <c r="K46" t="s">
        <v>333</v>
      </c>
      <c r="M46" s="36">
        <v>3</v>
      </c>
    </row>
    <row r="47" spans="1:13" ht="15">
      <c r="C47" t="s">
        <v>563</v>
      </c>
      <c r="F47" s="38">
        <f>I173</f>
        <v>-5537.5889355742329</v>
      </c>
      <c r="M47" s="36">
        <v>3</v>
      </c>
    </row>
    <row r="48" spans="1:13" ht="15">
      <c r="C48" t="s">
        <v>334</v>
      </c>
      <c r="F48" s="38">
        <f>I213</f>
        <v>5246</v>
      </c>
      <c r="K48" t="s">
        <v>335</v>
      </c>
      <c r="M48" s="36">
        <v>5</v>
      </c>
    </row>
    <row r="49" spans="2:13" ht="15">
      <c r="C49" t="s">
        <v>565</v>
      </c>
      <c r="F49" s="38">
        <f>I214</f>
        <v>-6821</v>
      </c>
      <c r="M49" s="36">
        <v>5</v>
      </c>
    </row>
    <row r="50" spans="2:13" ht="15">
      <c r="F50" s="38"/>
      <c r="M50" s="36"/>
    </row>
    <row r="51" spans="2:13" ht="15">
      <c r="B51" t="s">
        <v>336</v>
      </c>
      <c r="C51" t="s">
        <v>129</v>
      </c>
      <c r="F51" s="38">
        <f>SUM(F39:F49)</f>
        <v>402484.89642857143</v>
      </c>
      <c r="M51" s="36"/>
    </row>
    <row r="52" spans="2:13" ht="15">
      <c r="F52" s="38"/>
      <c r="M52" s="36"/>
    </row>
    <row r="53" spans="2:13" ht="15">
      <c r="F53" s="38"/>
      <c r="M53" s="36"/>
    </row>
    <row r="54" spans="2:13" ht="15">
      <c r="F54" s="38"/>
      <c r="M54" s="36"/>
    </row>
    <row r="55" spans="2:13" ht="15">
      <c r="B55" s="12" t="s">
        <v>337</v>
      </c>
      <c r="F55" s="38"/>
      <c r="J55" s="4">
        <v>548850</v>
      </c>
      <c r="M55" s="36"/>
    </row>
    <row r="56" spans="2:13" ht="15">
      <c r="F56" s="38"/>
      <c r="M56" s="36"/>
    </row>
    <row r="57" spans="2:13" ht="15">
      <c r="B57" s="39" t="s">
        <v>307</v>
      </c>
      <c r="C57" t="s">
        <v>338</v>
      </c>
      <c r="F57" s="38">
        <f>6/17*(800000+150000+8850-410000)</f>
        <v>193711.76470588238</v>
      </c>
      <c r="K57" t="s">
        <v>339</v>
      </c>
      <c r="M57" s="36"/>
    </row>
    <row r="58" spans="2:13" ht="15">
      <c r="F58" s="38"/>
      <c r="K58" s="40"/>
      <c r="M58" s="36"/>
    </row>
    <row r="59" spans="2:13" ht="15">
      <c r="C59" t="s">
        <v>304</v>
      </c>
      <c r="F59" s="38">
        <f>E186</f>
        <v>-4235.2941176470586</v>
      </c>
      <c r="M59" s="36">
        <v>4</v>
      </c>
    </row>
    <row r="60" spans="2:13" ht="15">
      <c r="F60" s="38"/>
      <c r="M60" s="36"/>
    </row>
    <row r="61" spans="2:13" ht="15">
      <c r="C61" t="s">
        <v>340</v>
      </c>
      <c r="F61" s="38"/>
      <c r="M61" s="36"/>
    </row>
    <row r="62" spans="2:13" ht="15">
      <c r="D62" t="s">
        <v>294</v>
      </c>
      <c r="F62" s="38">
        <f>E142*8/9+E269</f>
        <v>16287.581699346405</v>
      </c>
      <c r="K62" t="s">
        <v>341</v>
      </c>
      <c r="M62" s="36" t="s">
        <v>342</v>
      </c>
    </row>
    <row r="63" spans="2:13" ht="15">
      <c r="D63" t="s">
        <v>343</v>
      </c>
      <c r="F63" s="38">
        <f>F62*0.25*-1</f>
        <v>-4071.8954248366013</v>
      </c>
      <c r="M63" s="36"/>
    </row>
    <row r="64" spans="2:13" ht="15">
      <c r="D64" t="s">
        <v>344</v>
      </c>
      <c r="F64" s="38">
        <f>E144*8/9+E271</f>
        <v>4402.6143790849674</v>
      </c>
      <c r="K64" t="s">
        <v>345</v>
      </c>
      <c r="M64" s="36" t="s">
        <v>342</v>
      </c>
    </row>
    <row r="65" spans="2:13" ht="15">
      <c r="D65" t="s">
        <v>343</v>
      </c>
      <c r="F65" s="38">
        <f>F64*0.25*-1</f>
        <v>-1100.6535947712418</v>
      </c>
      <c r="M65" s="36"/>
    </row>
    <row r="66" spans="2:13" ht="15">
      <c r="D66" t="s">
        <v>42</v>
      </c>
      <c r="F66" s="38">
        <f>E146+E273</f>
        <v>3470.5882352941176</v>
      </c>
      <c r="M66" s="36" t="s">
        <v>342</v>
      </c>
    </row>
    <row r="67" spans="2:13" ht="15">
      <c r="D67" t="s">
        <v>343</v>
      </c>
      <c r="F67" s="38">
        <f>F66*0.25*-1</f>
        <v>-867.64705882352939</v>
      </c>
      <c r="M67" s="36"/>
    </row>
    <row r="68" spans="2:13" ht="15">
      <c r="D68" t="s">
        <v>298</v>
      </c>
      <c r="F68" s="38">
        <f>E148*13/14+E275</f>
        <v>10112.033613445379</v>
      </c>
      <c r="K68" t="s">
        <v>346</v>
      </c>
      <c r="M68" s="36" t="s">
        <v>342</v>
      </c>
    </row>
    <row r="69" spans="2:13" ht="15">
      <c r="D69" t="s">
        <v>343</v>
      </c>
      <c r="F69" s="38">
        <f>F68*0.25*-1</f>
        <v>-2528.0084033613448</v>
      </c>
      <c r="M69" s="36"/>
    </row>
    <row r="70" spans="2:13" ht="15">
      <c r="D70" t="s">
        <v>347</v>
      </c>
      <c r="F70" s="38">
        <f>D237*0.2</f>
        <v>-14206.6</v>
      </c>
      <c r="K70" t="s">
        <v>348</v>
      </c>
      <c r="M70" s="36">
        <v>6</v>
      </c>
    </row>
    <row r="71" spans="2:13" ht="15">
      <c r="D71" t="s">
        <v>343</v>
      </c>
      <c r="F71" s="38">
        <f>F70*0.25*-1</f>
        <v>3551.65</v>
      </c>
      <c r="M71" s="36"/>
    </row>
    <row r="72" spans="2:13" ht="15">
      <c r="D72" t="s">
        <v>173</v>
      </c>
      <c r="F72" s="38">
        <f>E152</f>
        <v>39810</v>
      </c>
      <c r="M72" s="36"/>
    </row>
    <row r="73" spans="2:13" ht="15">
      <c r="D73" t="s">
        <v>52</v>
      </c>
      <c r="F73" s="38">
        <f>SUM(F62:F72)</f>
        <v>54859.663445378152</v>
      </c>
      <c r="M73" s="36"/>
    </row>
    <row r="74" spans="2:13" ht="15">
      <c r="F74" s="38"/>
      <c r="M74" s="36"/>
    </row>
    <row r="75" spans="2:13" ht="15">
      <c r="C75" t="s">
        <v>52</v>
      </c>
      <c r="F75" s="38">
        <f>F57+F59+F73</f>
        <v>244336.13403361349</v>
      </c>
      <c r="M75" s="36"/>
    </row>
    <row r="76" spans="2:13" ht="15">
      <c r="F76" s="38"/>
      <c r="J76" s="4">
        <v>743850</v>
      </c>
      <c r="M76" s="36"/>
    </row>
    <row r="77" spans="2:13" ht="15">
      <c r="F77" s="38"/>
      <c r="M77" s="36"/>
    </row>
    <row r="78" spans="2:13" ht="15">
      <c r="B78" s="39" t="s">
        <v>322</v>
      </c>
      <c r="C78" t="s">
        <v>338</v>
      </c>
      <c r="F78" s="38">
        <f>6/17*(548850+150000-22500+67500)</f>
        <v>262535.29411764705</v>
      </c>
      <c r="K78" t="s">
        <v>349</v>
      </c>
      <c r="M78" s="36"/>
    </row>
    <row r="79" spans="2:13" ht="15">
      <c r="F79" s="38"/>
      <c r="M79" s="36"/>
    </row>
    <row r="80" spans="2:13" ht="15">
      <c r="C80" t="s">
        <v>340</v>
      </c>
      <c r="F80" s="38"/>
      <c r="M80" s="36"/>
    </row>
    <row r="81" spans="2:13" ht="15">
      <c r="D81" t="s">
        <v>298</v>
      </c>
      <c r="F81" s="38">
        <f>F68*12/13</f>
        <v>9334.1848739495799</v>
      </c>
      <c r="K81" t="s">
        <v>350</v>
      </c>
      <c r="M81" s="36"/>
    </row>
    <row r="82" spans="2:13" ht="15">
      <c r="D82" t="s">
        <v>343</v>
      </c>
      <c r="F82" s="38">
        <f>F81*0.25*-1</f>
        <v>-2333.546218487395</v>
      </c>
      <c r="M82" s="36"/>
    </row>
    <row r="83" spans="2:13" ht="15">
      <c r="D83" t="s">
        <v>347</v>
      </c>
      <c r="F83" s="38">
        <f>D239*0.2</f>
        <v>-13627.2</v>
      </c>
      <c r="K83" t="s">
        <v>351</v>
      </c>
      <c r="M83" s="36">
        <v>6</v>
      </c>
    </row>
    <row r="84" spans="2:13" ht="15">
      <c r="D84" t="s">
        <v>343</v>
      </c>
      <c r="F84" s="38">
        <f>F83*0.25*-1</f>
        <v>3406.8</v>
      </c>
      <c r="M84" s="36"/>
    </row>
    <row r="85" spans="2:13" ht="15">
      <c r="D85" t="s">
        <v>173</v>
      </c>
      <c r="F85" s="38">
        <f>F72</f>
        <v>39810</v>
      </c>
      <c r="M85" s="36"/>
    </row>
    <row r="86" spans="2:13" ht="15">
      <c r="D86" t="s">
        <v>52</v>
      </c>
      <c r="F86" s="38">
        <f>SUM(F81:F85)</f>
        <v>36590.238655462184</v>
      </c>
      <c r="M86" s="36"/>
    </row>
    <row r="87" spans="2:13" ht="15">
      <c r="F87" s="38"/>
      <c r="M87" s="36"/>
    </row>
    <row r="88" spans="2:13">
      <c r="C88" t="s">
        <v>52</v>
      </c>
      <c r="F88" s="38">
        <f>F78+F86</f>
        <v>299125.53277310921</v>
      </c>
    </row>
    <row r="89" spans="2:13">
      <c r="F89" s="38"/>
    </row>
    <row r="90" spans="2:13" ht="15">
      <c r="F90" s="38"/>
      <c r="M90" s="41"/>
    </row>
    <row r="91" spans="2:13" ht="15">
      <c r="B91" s="39" t="s">
        <v>336</v>
      </c>
      <c r="C91" t="s">
        <v>338</v>
      </c>
      <c r="F91" s="38">
        <f>0.3*(1143850+150000-50357-5250)</f>
        <v>371472.89999999997</v>
      </c>
      <c r="K91" t="s">
        <v>352</v>
      </c>
      <c r="M91" s="41">
        <v>8</v>
      </c>
    </row>
    <row r="92" spans="2:13" ht="15">
      <c r="F92" s="38"/>
      <c r="M92" s="41"/>
    </row>
    <row r="93" spans="2:13" ht="15">
      <c r="C93" t="s">
        <v>340</v>
      </c>
      <c r="F93" s="38"/>
      <c r="M93" s="41"/>
    </row>
    <row r="94" spans="2:13" ht="15">
      <c r="D94" t="s">
        <v>298</v>
      </c>
      <c r="F94" s="38">
        <f>E292*11/12</f>
        <v>7272.8857142857132</v>
      </c>
      <c r="M94" s="41">
        <v>8</v>
      </c>
    </row>
    <row r="95" spans="2:13" ht="15">
      <c r="D95" t="s">
        <v>343</v>
      </c>
      <c r="F95" s="38">
        <f>F94*0.25*-1</f>
        <v>-1818.2214285714283</v>
      </c>
      <c r="M95" s="41"/>
    </row>
    <row r="96" spans="2:13" ht="15">
      <c r="D96" t="s">
        <v>347</v>
      </c>
      <c r="F96" s="38">
        <f>D241*0.2*0.3/(6/17)</f>
        <v>-11041.5</v>
      </c>
      <c r="K96" t="s">
        <v>353</v>
      </c>
      <c r="M96" s="41" t="s">
        <v>331</v>
      </c>
    </row>
    <row r="97" spans="2:13" ht="15">
      <c r="D97" t="s">
        <v>343</v>
      </c>
      <c r="F97" s="38">
        <f>F96*0.25*-1</f>
        <v>2760.375</v>
      </c>
      <c r="M97" s="41"/>
    </row>
    <row r="98" spans="2:13" ht="15">
      <c r="D98" t="s">
        <v>173</v>
      </c>
      <c r="F98" s="38">
        <f>E296</f>
        <v>33838.5</v>
      </c>
      <c r="M98" s="41">
        <v>8</v>
      </c>
    </row>
    <row r="99" spans="2:13" ht="15">
      <c r="D99" t="s">
        <v>52</v>
      </c>
      <c r="F99" s="38">
        <f>SUM(F94:F98)</f>
        <v>31012.039285714287</v>
      </c>
      <c r="M99" s="42"/>
    </row>
    <row r="100" spans="2:13" ht="15">
      <c r="F100" s="38"/>
      <c r="M100" s="42"/>
    </row>
    <row r="101" spans="2:13" ht="15">
      <c r="C101" t="s">
        <v>52</v>
      </c>
      <c r="F101" s="38">
        <f>F91+F99</f>
        <v>402484.93928571424</v>
      </c>
      <c r="M101" s="42"/>
    </row>
    <row r="102" spans="2:13" ht="15">
      <c r="M102" s="42"/>
    </row>
    <row r="104" spans="2:13" ht="15">
      <c r="M104" s="36"/>
    </row>
    <row r="105" spans="2:13" ht="15">
      <c r="B105" s="12" t="s">
        <v>354</v>
      </c>
      <c r="M105" s="36" t="s">
        <v>355</v>
      </c>
    </row>
    <row r="106" spans="2:13" ht="15">
      <c r="M106" s="36"/>
    </row>
    <row r="107" spans="2:13" ht="15">
      <c r="B107" s="39" t="s">
        <v>336</v>
      </c>
      <c r="E107" s="43" t="s">
        <v>356</v>
      </c>
      <c r="F107" s="43" t="s">
        <v>357</v>
      </c>
      <c r="M107" s="36"/>
    </row>
    <row r="108" spans="2:13" ht="15">
      <c r="B108" s="44"/>
      <c r="D108" t="s">
        <v>358</v>
      </c>
      <c r="E108" s="45">
        <f>I169*-1</f>
        <v>1595</v>
      </c>
      <c r="F108" s="45"/>
      <c r="M108" s="36">
        <v>3</v>
      </c>
    </row>
    <row r="109" spans="2:13" ht="15">
      <c r="B109" s="44"/>
      <c r="D109" t="s">
        <v>359</v>
      </c>
      <c r="E109" s="45"/>
      <c r="F109" s="45">
        <f>E108</f>
        <v>1595</v>
      </c>
      <c r="M109" s="36"/>
    </row>
    <row r="110" spans="2:13" ht="15">
      <c r="B110" s="44"/>
      <c r="E110" s="45"/>
      <c r="F110" s="45"/>
      <c r="M110" s="36"/>
    </row>
    <row r="111" spans="2:13" ht="15">
      <c r="D111" t="s">
        <v>358</v>
      </c>
      <c r="E111" s="38">
        <f>I170*-1</f>
        <v>9569.5539215686276</v>
      </c>
      <c r="F111" s="38"/>
      <c r="M111" s="36">
        <v>3</v>
      </c>
    </row>
    <row r="112" spans="2:13" ht="15">
      <c r="D112" t="s">
        <v>360</v>
      </c>
      <c r="E112" s="38"/>
      <c r="F112" s="38">
        <f>E111</f>
        <v>9569.5539215686276</v>
      </c>
      <c r="M112" s="36"/>
    </row>
    <row r="113" spans="1:13" ht="15">
      <c r="E113" s="38"/>
      <c r="F113" s="38"/>
      <c r="M113" s="36"/>
    </row>
    <row r="114" spans="1:13" ht="15">
      <c r="D114" t="s">
        <v>291</v>
      </c>
      <c r="E114" s="38">
        <f>I173*-1</f>
        <v>5537.5889355742329</v>
      </c>
      <c r="F114" s="38"/>
      <c r="M114" s="36">
        <v>3</v>
      </c>
    </row>
    <row r="115" spans="1:13" ht="15">
      <c r="D115" t="s">
        <v>360</v>
      </c>
      <c r="E115" s="38"/>
      <c r="F115" s="38">
        <f>E114</f>
        <v>5537.5889355742329</v>
      </c>
      <c r="M115" s="36"/>
    </row>
    <row r="116" spans="1:13">
      <c r="E116" s="38"/>
      <c r="F116" s="38"/>
    </row>
    <row r="119" spans="1:13" ht="15">
      <c r="B119" s="46" t="s">
        <v>361</v>
      </c>
    </row>
    <row r="120" spans="1:13" ht="15">
      <c r="A120" s="36"/>
    </row>
    <row r="121" spans="1:13" ht="15">
      <c r="A121" s="36">
        <v>1</v>
      </c>
      <c r="B121" s="12" t="s">
        <v>362</v>
      </c>
    </row>
    <row r="122" spans="1:13" ht="42" customHeight="1">
      <c r="A122" s="36"/>
      <c r="D122" s="47" t="s">
        <v>363</v>
      </c>
      <c r="F122" s="47" t="s">
        <v>364</v>
      </c>
      <c r="G122" s="47" t="s">
        <v>365</v>
      </c>
      <c r="I122" s="48" t="s">
        <v>355</v>
      </c>
    </row>
    <row r="123" spans="1:13" ht="15">
      <c r="A123" s="36"/>
      <c r="B123" t="s">
        <v>289</v>
      </c>
      <c r="D123" s="37">
        <f>F123/G123</f>
        <v>0.2</v>
      </c>
      <c r="F123" s="38">
        <v>20000</v>
      </c>
      <c r="G123" s="38">
        <v>100000</v>
      </c>
    </row>
    <row r="124" spans="1:13" ht="15">
      <c r="A124" s="36"/>
      <c r="B124" t="s">
        <v>366</v>
      </c>
      <c r="D124" s="37">
        <f>F124/G124</f>
        <v>0.2</v>
      </c>
      <c r="F124" s="38">
        <f>F123*1.5</f>
        <v>30000</v>
      </c>
      <c r="G124" s="38">
        <f>G123*1.5</f>
        <v>150000</v>
      </c>
      <c r="I124" t="s">
        <v>367</v>
      </c>
    </row>
    <row r="125" spans="1:13" ht="15">
      <c r="A125" s="36"/>
      <c r="B125" t="s">
        <v>307</v>
      </c>
      <c r="D125" s="37">
        <f>F125/G125</f>
        <v>0.35294117647058826</v>
      </c>
      <c r="F125" s="38">
        <f>F124</f>
        <v>30000</v>
      </c>
      <c r="G125" s="38">
        <f>G124-65000</f>
        <v>85000</v>
      </c>
      <c r="I125" t="s">
        <v>368</v>
      </c>
    </row>
    <row r="126" spans="1:13" ht="15">
      <c r="A126" s="36"/>
      <c r="B126" t="s">
        <v>323</v>
      </c>
      <c r="D126" s="37">
        <f>F126/G126</f>
        <v>0.3</v>
      </c>
      <c r="F126" s="38">
        <f>F125+100000*0.255</f>
        <v>55500</v>
      </c>
      <c r="G126" s="38">
        <f>G125+100000</f>
        <v>185000</v>
      </c>
      <c r="I126" t="s">
        <v>369</v>
      </c>
    </row>
    <row r="127" spans="1:13" ht="15">
      <c r="A127" s="36"/>
    </row>
    <row r="128" spans="1:13" ht="15">
      <c r="A128" s="36"/>
    </row>
    <row r="129" spans="1:12" ht="15">
      <c r="A129" s="36">
        <v>2</v>
      </c>
      <c r="B129" s="49" t="s">
        <v>370</v>
      </c>
      <c r="I129" s="36" t="s">
        <v>355</v>
      </c>
    </row>
    <row r="130" spans="1:12" ht="15">
      <c r="A130" s="36"/>
      <c r="I130" s="36"/>
    </row>
    <row r="131" spans="1:12" ht="15">
      <c r="A131" s="36"/>
      <c r="B131" t="s">
        <v>199</v>
      </c>
      <c r="D131" s="38">
        <v>200000</v>
      </c>
      <c r="I131" s="50" t="s">
        <v>371</v>
      </c>
    </row>
    <row r="132" spans="1:12" ht="15">
      <c r="A132" s="36"/>
      <c r="B132" t="s">
        <v>372</v>
      </c>
      <c r="D132" s="38">
        <f>(D131-D133)*-1</f>
        <v>-158460.25333333333</v>
      </c>
      <c r="I132" s="50" t="s">
        <v>373</v>
      </c>
    </row>
    <row r="133" spans="1:12" ht="15">
      <c r="A133" s="36"/>
      <c r="B133" t="s">
        <v>374</v>
      </c>
      <c r="D133" s="38">
        <f>E153</f>
        <v>41539.746666666666</v>
      </c>
      <c r="I133" s="50" t="s">
        <v>375</v>
      </c>
    </row>
    <row r="134" spans="1:12" ht="15">
      <c r="A134" s="36"/>
      <c r="I134" s="50"/>
    </row>
    <row r="135" spans="1:12" ht="15">
      <c r="A135" s="36"/>
      <c r="B135" t="s">
        <v>376</v>
      </c>
      <c r="I135" s="50"/>
    </row>
    <row r="136" spans="1:12" ht="15">
      <c r="A136" s="36"/>
      <c r="C136" t="s">
        <v>377</v>
      </c>
      <c r="F136" s="38">
        <f>F138-F137</f>
        <v>800001.2666666666</v>
      </c>
      <c r="I136" s="50" t="s">
        <v>373</v>
      </c>
    </row>
    <row r="137" spans="1:12" ht="15">
      <c r="A137" s="36"/>
      <c r="C137" t="s">
        <v>378</v>
      </c>
      <c r="F137" s="38">
        <f>E181/0.2</f>
        <v>-7700</v>
      </c>
      <c r="H137" t="s">
        <v>379</v>
      </c>
      <c r="I137" s="50">
        <v>4</v>
      </c>
    </row>
    <row r="138" spans="1:12" ht="15">
      <c r="A138" s="36"/>
      <c r="B138" t="s">
        <v>52</v>
      </c>
      <c r="F138" s="38">
        <f>D132/0.2*-1</f>
        <v>792301.2666666666</v>
      </c>
      <c r="H138" t="s">
        <v>380</v>
      </c>
      <c r="I138" s="50"/>
    </row>
    <row r="139" spans="1:12" ht="15">
      <c r="A139" s="36"/>
      <c r="I139" s="36"/>
    </row>
    <row r="140" spans="1:12" ht="15">
      <c r="A140" s="36"/>
      <c r="I140" s="36"/>
      <c r="L140" t="s">
        <v>381</v>
      </c>
    </row>
    <row r="141" spans="1:12" ht="15">
      <c r="A141" s="36"/>
      <c r="B141" t="s">
        <v>382</v>
      </c>
      <c r="E141" s="45" t="s">
        <v>289</v>
      </c>
      <c r="J141" t="s">
        <v>383</v>
      </c>
      <c r="L141" s="43" t="s">
        <v>307</v>
      </c>
    </row>
    <row r="142" spans="1:12" ht="15">
      <c r="A142" s="36"/>
      <c r="C142" t="s">
        <v>294</v>
      </c>
      <c r="E142" s="45">
        <f>(400000-400000*9/10)*0.2</f>
        <v>8000</v>
      </c>
      <c r="H142" t="s">
        <v>384</v>
      </c>
      <c r="J142" s="51">
        <f>L142-E142</f>
        <v>-888.88888888888869</v>
      </c>
      <c r="L142" s="38">
        <f>E142*8/9</f>
        <v>7111.1111111111113</v>
      </c>
    </row>
    <row r="143" spans="1:12" ht="15">
      <c r="A143" s="36"/>
      <c r="C143" t="s">
        <v>343</v>
      </c>
      <c r="E143" s="45">
        <f>E142*0.3*-1</f>
        <v>-2400</v>
      </c>
      <c r="H143" s="36"/>
      <c r="J143" s="51">
        <f t="shared" ref="J143:J153" si="0">L143-E143</f>
        <v>622.22222222222217</v>
      </c>
      <c r="L143" s="38">
        <f>L142*0.25*-1</f>
        <v>-1777.7777777777778</v>
      </c>
    </row>
    <row r="144" spans="1:12" ht="15">
      <c r="A144" s="36"/>
      <c r="C144" t="s">
        <v>344</v>
      </c>
      <c r="E144" s="52">
        <f>(101000-100000*9/10)*0.2</f>
        <v>2200</v>
      </c>
      <c r="H144" s="53" t="s">
        <v>385</v>
      </c>
      <c r="J144" s="51">
        <f t="shared" si="0"/>
        <v>-244.44444444444434</v>
      </c>
      <c r="L144" s="38">
        <f>E144/9*8</f>
        <v>1955.5555555555557</v>
      </c>
    </row>
    <row r="145" spans="1:14" ht="15">
      <c r="A145" s="36"/>
      <c r="C145" t="s">
        <v>343</v>
      </c>
      <c r="E145" s="45">
        <f>E144*0.3*-1</f>
        <v>-660</v>
      </c>
      <c r="H145" s="36"/>
      <c r="J145" s="51">
        <f t="shared" si="0"/>
        <v>171.11111111111109</v>
      </c>
      <c r="L145" s="38">
        <f>L144*0.25*-1</f>
        <v>-488.88888888888891</v>
      </c>
    </row>
    <row r="146" spans="1:14" ht="15">
      <c r="A146" s="36"/>
      <c r="C146" t="s">
        <v>42</v>
      </c>
      <c r="E146" s="52">
        <f>(45000-33000)*0.2</f>
        <v>2400</v>
      </c>
      <c r="H146" s="53" t="s">
        <v>386</v>
      </c>
      <c r="J146" s="51">
        <f t="shared" si="0"/>
        <v>0</v>
      </c>
      <c r="L146" s="38">
        <f>E146</f>
        <v>2400</v>
      </c>
    </row>
    <row r="147" spans="1:14" ht="15">
      <c r="A147" s="36"/>
      <c r="C147" t="s">
        <v>343</v>
      </c>
      <c r="E147" s="45">
        <f>E146*0.3*-1</f>
        <v>-720</v>
      </c>
      <c r="I147" s="36"/>
      <c r="J147" s="51">
        <f t="shared" si="0"/>
        <v>120</v>
      </c>
      <c r="L147" s="38">
        <f>L146*0.25*-1</f>
        <v>-600</v>
      </c>
    </row>
    <row r="148" spans="1:14" ht="15">
      <c r="A148" s="36"/>
      <c r="C148" t="s">
        <v>298</v>
      </c>
      <c r="E148" s="38">
        <f>(165000-152120*14/15)*0.2</f>
        <v>4604.2666666666692</v>
      </c>
      <c r="H148" t="s">
        <v>387</v>
      </c>
      <c r="I148" s="36">
        <v>6</v>
      </c>
      <c r="J148" s="51">
        <f t="shared" si="0"/>
        <v>-328.87619047619046</v>
      </c>
      <c r="L148" s="38">
        <f>E148*13/14</f>
        <v>4275.3904761904787</v>
      </c>
    </row>
    <row r="149" spans="1:14" ht="15">
      <c r="A149" s="36"/>
      <c r="C149" t="s">
        <v>343</v>
      </c>
      <c r="E149" s="45">
        <f>E148*0.3*-1</f>
        <v>-1381.2800000000007</v>
      </c>
      <c r="I149" s="36"/>
      <c r="J149" s="51">
        <f t="shared" si="0"/>
        <v>312.43238095238098</v>
      </c>
      <c r="L149" s="38">
        <f>L148*0.25*-1</f>
        <v>-1068.8476190476197</v>
      </c>
    </row>
    <row r="150" spans="1:14" ht="15">
      <c r="A150" s="36"/>
      <c r="C150" t="s">
        <v>347</v>
      </c>
      <c r="E150" s="45">
        <f>D235*0.2</f>
        <v>-14733.2</v>
      </c>
      <c r="H150" t="s">
        <v>388</v>
      </c>
      <c r="I150" s="36">
        <v>6</v>
      </c>
      <c r="J150" s="51">
        <f t="shared" si="0"/>
        <v>526.60000000000036</v>
      </c>
      <c r="L150" s="38">
        <f>(-71033)*0.2</f>
        <v>-14206.6</v>
      </c>
      <c r="N150" t="s">
        <v>389</v>
      </c>
    </row>
    <row r="151" spans="1:14" ht="15">
      <c r="A151" s="36"/>
      <c r="C151" t="s">
        <v>343</v>
      </c>
      <c r="E151" s="45">
        <f>E150*0.3*-1</f>
        <v>4419.96</v>
      </c>
      <c r="I151" s="36"/>
      <c r="J151" s="51">
        <f t="shared" si="0"/>
        <v>-868.31</v>
      </c>
      <c r="L151" s="38">
        <f>L150*0.25*-1</f>
        <v>3551.65</v>
      </c>
    </row>
    <row r="152" spans="1:14" ht="15">
      <c r="A152" s="36"/>
      <c r="C152" t="s">
        <v>173</v>
      </c>
      <c r="E152" s="38">
        <v>39810</v>
      </c>
      <c r="I152" s="36" t="s">
        <v>371</v>
      </c>
      <c r="J152" s="51">
        <f t="shared" si="0"/>
        <v>0</v>
      </c>
      <c r="L152" s="38">
        <f>E152</f>
        <v>39810</v>
      </c>
    </row>
    <row r="153" spans="1:14" ht="15">
      <c r="A153" s="36"/>
      <c r="C153" t="s">
        <v>52</v>
      </c>
      <c r="E153" s="38">
        <f>SUM(E142:E152)</f>
        <v>41539.746666666666</v>
      </c>
      <c r="F153" s="38"/>
      <c r="G153" s="38"/>
      <c r="H153" s="38"/>
      <c r="I153" s="38"/>
      <c r="J153" s="51">
        <f t="shared" si="0"/>
        <v>-578.15380952380656</v>
      </c>
      <c r="K153" s="38"/>
      <c r="L153" s="38">
        <f>SUM(L142:L152)</f>
        <v>40961.592857142859</v>
      </c>
      <c r="M153" s="38"/>
    </row>
    <row r="154" spans="1:14" ht="15">
      <c r="A154" s="36"/>
    </row>
    <row r="155" spans="1:14" ht="15">
      <c r="A155" s="36"/>
    </row>
    <row r="156" spans="1:14" ht="15">
      <c r="A156" s="36"/>
    </row>
    <row r="157" spans="1:14" ht="15">
      <c r="A157" s="36">
        <v>3</v>
      </c>
      <c r="B157" s="12" t="s">
        <v>390</v>
      </c>
    </row>
    <row r="158" spans="1:14" ht="15">
      <c r="A158" s="36"/>
    </row>
    <row r="159" spans="1:14" ht="15">
      <c r="A159" s="36"/>
      <c r="B159" t="s">
        <v>391</v>
      </c>
    </row>
    <row r="160" spans="1:14" ht="15">
      <c r="A160" s="36"/>
    </row>
    <row r="161" spans="1:13" ht="15">
      <c r="A161" s="36"/>
      <c r="D161" s="12" t="s">
        <v>392</v>
      </c>
      <c r="I161" s="12" t="s">
        <v>393</v>
      </c>
      <c r="L161" s="12" t="s">
        <v>355</v>
      </c>
    </row>
    <row r="162" spans="1:13" ht="15">
      <c r="A162" s="36"/>
      <c r="B162" t="s">
        <v>322</v>
      </c>
      <c r="C162" t="s">
        <v>394</v>
      </c>
      <c r="D162" s="45"/>
      <c r="E162" s="38">
        <f>(370000-400000*7/10)*0.75</f>
        <v>67500</v>
      </c>
      <c r="G162" t="s">
        <v>395</v>
      </c>
      <c r="I162" s="38">
        <f>E162*6/17</f>
        <v>23823.529411764706</v>
      </c>
      <c r="L162" t="s">
        <v>396</v>
      </c>
    </row>
    <row r="163" spans="1:13" ht="15">
      <c r="A163" s="36"/>
      <c r="E163" s="38"/>
      <c r="I163" s="38">
        <f>F62*7/8*0.75*-1</f>
        <v>-10688.725490196077</v>
      </c>
      <c r="L163" t="s">
        <v>320</v>
      </c>
    </row>
    <row r="164" spans="1:13" ht="15">
      <c r="A164" s="36"/>
      <c r="E164" s="38"/>
      <c r="I164" s="38"/>
    </row>
    <row r="165" spans="1:13" ht="15">
      <c r="A165" s="36"/>
      <c r="B165" t="s">
        <v>322</v>
      </c>
      <c r="C165" t="s">
        <v>129</v>
      </c>
      <c r="D165" s="45"/>
      <c r="E165" s="38">
        <f>SUM(E162:E163)</f>
        <v>67500</v>
      </c>
      <c r="I165" s="38">
        <f>SUM(I162:I163)</f>
        <v>13134.803921568629</v>
      </c>
    </row>
    <row r="166" spans="1:13" ht="15">
      <c r="A166" s="36"/>
      <c r="B166" t="s">
        <v>323</v>
      </c>
      <c r="C166" t="s">
        <v>397</v>
      </c>
      <c r="D166" s="45"/>
      <c r="E166" s="38"/>
      <c r="I166" s="38">
        <f>13135*(6/17-0.3)/(6/17)*-1</f>
        <v>-1970.2500000000011</v>
      </c>
      <c r="M166" t="s">
        <v>398</v>
      </c>
    </row>
    <row r="167" spans="1:13" ht="15">
      <c r="A167" s="36"/>
      <c r="B167" t="s">
        <v>323</v>
      </c>
      <c r="C167" t="s">
        <v>399</v>
      </c>
      <c r="E167" s="38">
        <f>E165</f>
        <v>67500</v>
      </c>
      <c r="I167" s="38">
        <f>I165+I166</f>
        <v>11164.553921568628</v>
      </c>
    </row>
    <row r="168" spans="1:13" ht="15">
      <c r="A168" s="36"/>
      <c r="E168" s="38"/>
      <c r="I168" s="38"/>
    </row>
    <row r="169" spans="1:13" ht="15">
      <c r="A169" s="36"/>
      <c r="C169" t="s">
        <v>332</v>
      </c>
      <c r="E169" s="38">
        <f>67500/7*-1</f>
        <v>-9642.8571428571431</v>
      </c>
      <c r="G169" t="s">
        <v>400</v>
      </c>
      <c r="I169" s="38">
        <f>11165/7*-1</f>
        <v>-1595</v>
      </c>
      <c r="L169" t="s">
        <v>401</v>
      </c>
    </row>
    <row r="170" spans="1:13" ht="15">
      <c r="A170" s="36"/>
      <c r="C170" t="s">
        <v>394</v>
      </c>
      <c r="E170" s="38">
        <f>(250000-370000*6/7)*0.75</f>
        <v>-50357.14285714287</v>
      </c>
      <c r="G170" t="s">
        <v>402</v>
      </c>
      <c r="I170" s="38">
        <f>(I167+I169)*-1</f>
        <v>-9569.5539215686276</v>
      </c>
      <c r="L170" t="s">
        <v>562</v>
      </c>
    </row>
    <row r="171" spans="1:13" ht="15">
      <c r="A171" s="36"/>
      <c r="E171" s="38"/>
      <c r="I171" s="38"/>
    </row>
    <row r="172" spans="1:13" ht="15">
      <c r="A172" s="36"/>
      <c r="B172" t="s">
        <v>336</v>
      </c>
      <c r="C172" t="s">
        <v>129</v>
      </c>
      <c r="E172" s="38">
        <f>SUM(E167:E170)</f>
        <v>7499.9999999999854</v>
      </c>
      <c r="I172" s="51">
        <f>I167+I169+I170</f>
        <v>0</v>
      </c>
    </row>
    <row r="173" spans="1:13" ht="15">
      <c r="A173" s="36"/>
      <c r="C173" t="s">
        <v>403</v>
      </c>
      <c r="E173" s="38">
        <v>0</v>
      </c>
      <c r="I173" s="38">
        <f>E170*0.3-I170</f>
        <v>-5537.5889355742329</v>
      </c>
      <c r="L173" t="s">
        <v>564</v>
      </c>
    </row>
    <row r="174" spans="1:13" ht="15">
      <c r="A174" s="36"/>
      <c r="B174" t="s">
        <v>336</v>
      </c>
      <c r="C174" t="s">
        <v>404</v>
      </c>
      <c r="E174" s="38">
        <f>E172</f>
        <v>7499.9999999999854</v>
      </c>
      <c r="I174" s="38"/>
    </row>
    <row r="175" spans="1:13" ht="15">
      <c r="A175" s="36"/>
      <c r="E175" s="54"/>
    </row>
    <row r="176" spans="1:13" ht="15">
      <c r="A176" s="36"/>
    </row>
    <row r="177" spans="1:10" ht="15">
      <c r="A177" s="36">
        <v>4</v>
      </c>
      <c r="B177" s="12" t="s">
        <v>405</v>
      </c>
    </row>
    <row r="178" spans="1:10" ht="15">
      <c r="A178" s="36"/>
    </row>
    <row r="179" spans="1:10" ht="15">
      <c r="A179" s="36"/>
      <c r="B179" t="s">
        <v>289</v>
      </c>
      <c r="C179" t="s">
        <v>406</v>
      </c>
    </row>
    <row r="180" spans="1:10" ht="15">
      <c r="A180" s="36"/>
      <c r="D180" t="s">
        <v>407</v>
      </c>
    </row>
    <row r="181" spans="1:10" ht="15">
      <c r="A181" s="36"/>
      <c r="C181" t="s">
        <v>289</v>
      </c>
      <c r="E181" s="38">
        <f>0.2*(100000*9/10-101000)*0.7</f>
        <v>-1540</v>
      </c>
      <c r="J181" t="s">
        <v>408</v>
      </c>
    </row>
    <row r="182" spans="1:10" ht="15">
      <c r="A182" s="36"/>
      <c r="E182" s="38">
        <f>E183-E181</f>
        <v>-860</v>
      </c>
      <c r="F182" t="s">
        <v>373</v>
      </c>
    </row>
    <row r="183" spans="1:10" ht="15">
      <c r="A183" s="36"/>
      <c r="C183" t="s">
        <v>307</v>
      </c>
      <c r="E183" s="38">
        <f>0.2*(100000*8/10-96000)*0.75</f>
        <v>-2400</v>
      </c>
      <c r="J183" t="s">
        <v>409</v>
      </c>
    </row>
    <row r="184" spans="1:10" ht="15">
      <c r="A184" s="36"/>
      <c r="E184" s="38"/>
    </row>
    <row r="185" spans="1:10" ht="15">
      <c r="A185" s="36"/>
      <c r="E185" s="38"/>
    </row>
    <row r="186" spans="1:10" ht="15">
      <c r="A186" s="36"/>
      <c r="B186" s="1" t="s">
        <v>410</v>
      </c>
      <c r="C186" t="s">
        <v>307</v>
      </c>
      <c r="E186" s="38">
        <f>6/17*(100000*8/10-96000)*0.75</f>
        <v>-4235.2941176470586</v>
      </c>
      <c r="J186" t="s">
        <v>411</v>
      </c>
    </row>
    <row r="187" spans="1:10" ht="15">
      <c r="A187" s="36"/>
      <c r="E187" s="38">
        <f>E188-E186</f>
        <v>4235.2941176470586</v>
      </c>
      <c r="F187" t="s">
        <v>373</v>
      </c>
    </row>
    <row r="188" spans="1:10" ht="15.75" customHeight="1">
      <c r="A188" s="36"/>
      <c r="C188" t="s">
        <v>322</v>
      </c>
      <c r="E188" s="38">
        <v>0</v>
      </c>
      <c r="J188" t="s">
        <v>412</v>
      </c>
    </row>
    <row r="189" spans="1:10" ht="15.75" customHeight="1">
      <c r="A189" s="36"/>
      <c r="E189" s="55"/>
    </row>
    <row r="190" spans="1:10" ht="15.75" customHeight="1">
      <c r="A190" s="36"/>
      <c r="E190" s="55"/>
    </row>
    <row r="191" spans="1:10" ht="15.75" customHeight="1">
      <c r="A191" s="36"/>
      <c r="B191" t="s">
        <v>413</v>
      </c>
      <c r="E191" s="55"/>
    </row>
    <row r="192" spans="1:10" ht="15.75" customHeight="1">
      <c r="A192" s="36"/>
      <c r="C192" t="s">
        <v>414</v>
      </c>
      <c r="E192" s="55"/>
      <c r="F192" s="38">
        <f>E187</f>
        <v>4235.2941176470586</v>
      </c>
      <c r="J192" t="s">
        <v>415</v>
      </c>
    </row>
    <row r="193" spans="1:12" ht="14.25" customHeight="1">
      <c r="A193" s="36"/>
      <c r="C193" t="s">
        <v>416</v>
      </c>
      <c r="F193" s="38">
        <f>F64*0.75*-1</f>
        <v>-3301.9607843137255</v>
      </c>
      <c r="J193" t="s">
        <v>417</v>
      </c>
    </row>
    <row r="194" spans="1:12" ht="15">
      <c r="A194" s="36"/>
      <c r="D194" t="s">
        <v>52</v>
      </c>
      <c r="F194" s="38">
        <f>SUM(F192:F193)</f>
        <v>933.33333333333303</v>
      </c>
    </row>
    <row r="195" spans="1:12" ht="15">
      <c r="A195" s="36"/>
      <c r="F195" s="55"/>
    </row>
    <row r="196" spans="1:12" ht="15">
      <c r="A196" s="36"/>
      <c r="B196" t="s">
        <v>418</v>
      </c>
    </row>
    <row r="197" spans="1:12" ht="15">
      <c r="A197" s="36"/>
    </row>
    <row r="198" spans="1:12" ht="15">
      <c r="A198" s="36"/>
    </row>
    <row r="199" spans="1:12" ht="15">
      <c r="A199" s="36">
        <v>5</v>
      </c>
      <c r="B199" s="12" t="s">
        <v>419</v>
      </c>
    </row>
    <row r="200" spans="1:12" ht="15">
      <c r="A200" s="36"/>
    </row>
    <row r="201" spans="1:12" ht="15">
      <c r="A201" s="36"/>
      <c r="D201" s="12" t="s">
        <v>420</v>
      </c>
      <c r="I201" s="12" t="s">
        <v>421</v>
      </c>
      <c r="L201" s="12" t="s">
        <v>355</v>
      </c>
    </row>
    <row r="202" spans="1:12" ht="15">
      <c r="A202" s="36"/>
      <c r="B202" t="s">
        <v>289</v>
      </c>
      <c r="C202" t="s">
        <v>129</v>
      </c>
      <c r="E202" s="45">
        <f>(80000-(50000+3000))*0.7</f>
        <v>18900</v>
      </c>
      <c r="G202" t="s">
        <v>422</v>
      </c>
      <c r="I202" s="38">
        <v>0</v>
      </c>
      <c r="L202" t="s">
        <v>423</v>
      </c>
    </row>
    <row r="203" spans="1:12" ht="15">
      <c r="A203" s="36"/>
      <c r="C203" t="s">
        <v>424</v>
      </c>
      <c r="E203" s="38">
        <f>E205-E202</f>
        <v>8850</v>
      </c>
      <c r="F203" s="43" t="s">
        <v>373</v>
      </c>
      <c r="I203" s="38">
        <f>E203*0.2</f>
        <v>1770</v>
      </c>
      <c r="L203" t="s">
        <v>306</v>
      </c>
    </row>
    <row r="204" spans="1:12" ht="15">
      <c r="A204" s="36"/>
      <c r="E204" s="38"/>
      <c r="I204" s="38"/>
    </row>
    <row r="205" spans="1:12" ht="15">
      <c r="A205" s="36"/>
      <c r="B205" t="s">
        <v>307</v>
      </c>
      <c r="C205" t="s">
        <v>129</v>
      </c>
      <c r="E205">
        <f>(90000-53000)*0.75</f>
        <v>27750</v>
      </c>
      <c r="G205" t="s">
        <v>425</v>
      </c>
      <c r="I205" s="38">
        <f>I203</f>
        <v>1770</v>
      </c>
      <c r="L205" t="s">
        <v>381</v>
      </c>
    </row>
    <row r="206" spans="1:12" ht="15">
      <c r="A206" s="36"/>
      <c r="E206" s="45"/>
      <c r="I206" s="38"/>
    </row>
    <row r="207" spans="1:12" ht="15">
      <c r="A207" s="36"/>
      <c r="C207" t="s">
        <v>424</v>
      </c>
      <c r="E207" s="38">
        <f>(60000-90000)*0.75</f>
        <v>-22500</v>
      </c>
      <c r="G207" t="s">
        <v>426</v>
      </c>
      <c r="I207" s="38">
        <f>E207*6/17</f>
        <v>-7941.1764705882351</v>
      </c>
      <c r="L207" t="s">
        <v>427</v>
      </c>
    </row>
    <row r="208" spans="1:12" ht="15">
      <c r="A208" s="36"/>
      <c r="E208" s="38"/>
      <c r="I208" s="38"/>
    </row>
    <row r="209" spans="1:13" ht="15">
      <c r="A209" s="36"/>
      <c r="B209" t="s">
        <v>322</v>
      </c>
      <c r="C209" s="45" t="s">
        <v>129</v>
      </c>
      <c r="E209" s="38">
        <f>SUM(E205:E207)</f>
        <v>5250</v>
      </c>
      <c r="I209" s="38">
        <f>SUM(I205:I207)</f>
        <v>-6171.1764705882351</v>
      </c>
      <c r="L209" t="s">
        <v>428</v>
      </c>
    </row>
    <row r="210" spans="1:13" ht="15">
      <c r="A210" s="36"/>
      <c r="B210" t="s">
        <v>323</v>
      </c>
      <c r="C210" s="56" t="s">
        <v>397</v>
      </c>
      <c r="E210" s="38">
        <v>0</v>
      </c>
      <c r="I210">
        <f>6171*(6/17-0.3)/(6/17)</f>
        <v>925.65000000000055</v>
      </c>
      <c r="M210" t="s">
        <v>429</v>
      </c>
    </row>
    <row r="211" spans="1:13" ht="15">
      <c r="A211" s="36"/>
      <c r="B211" t="s">
        <v>323</v>
      </c>
      <c r="C211" s="56" t="s">
        <v>399</v>
      </c>
      <c r="E211" s="38">
        <f>E209+E210</f>
        <v>5250</v>
      </c>
      <c r="F211" s="38"/>
      <c r="G211" s="38"/>
      <c r="H211" s="38"/>
      <c r="I211" s="38">
        <f>I209+I210</f>
        <v>-5245.5264705882346</v>
      </c>
    </row>
    <row r="212" spans="1:13" ht="15">
      <c r="A212" s="36"/>
      <c r="C212" s="45"/>
      <c r="E212" s="38"/>
      <c r="F212" s="38"/>
      <c r="G212" s="38"/>
      <c r="H212" s="38"/>
      <c r="I212" s="38"/>
    </row>
    <row r="213" spans="1:13" ht="15">
      <c r="A213" s="36"/>
      <c r="B213" t="s">
        <v>430</v>
      </c>
      <c r="C213" s="56" t="s">
        <v>431</v>
      </c>
      <c r="E213" s="38">
        <f>E211*-1</f>
        <v>-5250</v>
      </c>
      <c r="F213" s="38"/>
      <c r="G213" s="38"/>
      <c r="H213" s="38"/>
      <c r="I213" s="38">
        <v>5246</v>
      </c>
      <c r="L213" t="s">
        <v>566</v>
      </c>
    </row>
    <row r="214" spans="1:13" ht="15">
      <c r="A214" s="36"/>
      <c r="C214" s="45"/>
      <c r="E214" s="38"/>
      <c r="F214" s="38"/>
      <c r="G214" s="38"/>
      <c r="H214" s="38"/>
      <c r="I214" s="38">
        <f>E213*0.3-I213</f>
        <v>-6821</v>
      </c>
      <c r="L214" t="s">
        <v>567</v>
      </c>
    </row>
    <row r="215" spans="1:13" ht="15">
      <c r="A215" s="36"/>
      <c r="C215" s="56" t="s">
        <v>432</v>
      </c>
      <c r="E215" s="38">
        <v>0</v>
      </c>
      <c r="F215" s="38"/>
      <c r="G215" s="38"/>
      <c r="H215" s="38"/>
      <c r="I215" s="38">
        <v>0</v>
      </c>
    </row>
    <row r="216" spans="1:13" ht="15">
      <c r="A216" s="36"/>
      <c r="E216" s="38"/>
      <c r="F216" s="38"/>
      <c r="G216" s="38"/>
      <c r="H216" s="38"/>
      <c r="I216" s="38"/>
      <c r="L216" t="s">
        <v>568</v>
      </c>
    </row>
    <row r="217" spans="1:13" ht="15">
      <c r="A217" s="36">
        <v>6</v>
      </c>
      <c r="B217" s="12" t="s">
        <v>433</v>
      </c>
      <c r="E217" s="38"/>
      <c r="F217" s="38"/>
      <c r="G217" s="38"/>
      <c r="H217" s="38"/>
      <c r="I217" s="38"/>
      <c r="L217" t="s">
        <v>569</v>
      </c>
    </row>
    <row r="218" spans="1:13" ht="15">
      <c r="A218" s="36"/>
      <c r="B218" s="43" t="s">
        <v>434</v>
      </c>
      <c r="C218" t="s">
        <v>435</v>
      </c>
    </row>
    <row r="219" spans="1:13" ht="15">
      <c r="A219" s="36"/>
    </row>
    <row r="220" spans="1:13" ht="15">
      <c r="A220" s="36"/>
      <c r="C220" t="s">
        <v>436</v>
      </c>
    </row>
    <row r="221" spans="1:13" ht="15">
      <c r="A221" s="36"/>
      <c r="D221" t="s">
        <v>437</v>
      </c>
      <c r="F221" t="s">
        <v>438</v>
      </c>
      <c r="G221" t="s">
        <v>439</v>
      </c>
    </row>
    <row r="222" spans="1:13" ht="15">
      <c r="A222" s="36"/>
      <c r="G222" t="s">
        <v>440</v>
      </c>
    </row>
    <row r="223" spans="1:13" ht="15">
      <c r="A223" s="36"/>
      <c r="G223" t="s">
        <v>441</v>
      </c>
    </row>
    <row r="224" spans="1:13" ht="15">
      <c r="A224" s="36"/>
      <c r="G224" t="s">
        <v>442</v>
      </c>
    </row>
    <row r="225" spans="1:7" ht="15">
      <c r="A225" s="36"/>
      <c r="F225" t="s">
        <v>443</v>
      </c>
      <c r="G225" t="s">
        <v>444</v>
      </c>
    </row>
    <row r="226" spans="1:7" ht="15">
      <c r="A226" s="36"/>
    </row>
    <row r="227" spans="1:7" ht="15">
      <c r="A227" s="36"/>
      <c r="D227" t="s">
        <v>445</v>
      </c>
      <c r="F227" t="s">
        <v>371</v>
      </c>
      <c r="G227" s="4">
        <v>160000</v>
      </c>
    </row>
    <row r="228" spans="1:7" ht="15">
      <c r="A228" s="36"/>
    </row>
    <row r="229" spans="1:7" ht="15">
      <c r="A229" s="36"/>
      <c r="C229" t="s">
        <v>446</v>
      </c>
    </row>
    <row r="230" spans="1:7" ht="15">
      <c r="A230" s="36"/>
      <c r="C230" t="s">
        <v>447</v>
      </c>
    </row>
    <row r="231" spans="1:7" ht="15">
      <c r="A231" s="36"/>
    </row>
    <row r="232" spans="1:7" ht="15">
      <c r="A232" s="36"/>
    </row>
    <row r="233" spans="1:7" ht="15">
      <c r="A233" s="36"/>
      <c r="B233" s="12" t="s">
        <v>347</v>
      </c>
      <c r="D233" t="s">
        <v>448</v>
      </c>
    </row>
    <row r="234" spans="1:7" ht="72" customHeight="1">
      <c r="A234" s="36"/>
      <c r="D234" s="47" t="s">
        <v>449</v>
      </c>
    </row>
    <row r="235" spans="1:7" ht="15">
      <c r="A235" s="36"/>
      <c r="B235" s="43" t="s">
        <v>289</v>
      </c>
      <c r="D235" s="38">
        <v>-73666</v>
      </c>
      <c r="G235" t="s">
        <v>450</v>
      </c>
    </row>
    <row r="236" spans="1:7" ht="15">
      <c r="A236" s="36"/>
      <c r="B236" s="43" t="s">
        <v>253</v>
      </c>
      <c r="D236" s="38">
        <f>D237-D235</f>
        <v>2633</v>
      </c>
      <c r="E236" t="s">
        <v>373</v>
      </c>
    </row>
    <row r="237" spans="1:7" ht="15">
      <c r="A237" s="36"/>
      <c r="B237" t="s">
        <v>307</v>
      </c>
      <c r="D237" s="38">
        <v>-71033</v>
      </c>
      <c r="G237" t="s">
        <v>451</v>
      </c>
    </row>
    <row r="238" spans="1:7" ht="15">
      <c r="A238" s="36"/>
      <c r="B238" t="s">
        <v>253</v>
      </c>
      <c r="D238" s="38">
        <f>D239-D237</f>
        <v>2897</v>
      </c>
      <c r="E238" t="s">
        <v>373</v>
      </c>
    </row>
    <row r="239" spans="1:7" ht="15">
      <c r="A239" s="36"/>
      <c r="B239" t="s">
        <v>322</v>
      </c>
      <c r="D239" s="38">
        <v>-68136</v>
      </c>
      <c r="G239" t="s">
        <v>452</v>
      </c>
    </row>
    <row r="240" spans="1:7" ht="15">
      <c r="A240" s="36"/>
      <c r="D240" s="38">
        <f>D241-D239</f>
        <v>3186</v>
      </c>
      <c r="E240" t="s">
        <v>373</v>
      </c>
    </row>
    <row r="241" spans="1:10" ht="15">
      <c r="A241" s="36"/>
      <c r="B241" t="s">
        <v>336</v>
      </c>
      <c r="D241" s="38">
        <v>-64950</v>
      </c>
      <c r="G241" t="s">
        <v>453</v>
      </c>
    </row>
    <row r="242" spans="1:10" ht="15">
      <c r="A242" s="36"/>
    </row>
    <row r="243" spans="1:10" ht="15">
      <c r="A243" s="36"/>
    </row>
    <row r="244" spans="1:10" ht="15">
      <c r="A244" s="36">
        <v>7</v>
      </c>
      <c r="B244" s="49" t="s">
        <v>454</v>
      </c>
    </row>
    <row r="245" spans="1:10" ht="15">
      <c r="A245" s="36"/>
    </row>
    <row r="246" spans="1:10" ht="15">
      <c r="A246" s="36"/>
      <c r="B246" t="s">
        <v>455</v>
      </c>
    </row>
    <row r="247" spans="1:10" ht="15">
      <c r="A247" s="36"/>
      <c r="B247" t="s">
        <v>456</v>
      </c>
    </row>
    <row r="248" spans="1:10" ht="15">
      <c r="A248" s="36"/>
      <c r="B248" t="s">
        <v>457</v>
      </c>
      <c r="D248" t="s">
        <v>289</v>
      </c>
      <c r="E248" s="37">
        <v>0.2</v>
      </c>
      <c r="F248" t="s">
        <v>458</v>
      </c>
    </row>
    <row r="249" spans="1:10" ht="15">
      <c r="A249" s="36"/>
      <c r="D249" t="s">
        <v>307</v>
      </c>
      <c r="E249" s="37">
        <v>0.35294117647058798</v>
      </c>
      <c r="F249" s="57" t="s">
        <v>459</v>
      </c>
    </row>
    <row r="250" spans="1:10" ht="15">
      <c r="A250" s="36"/>
      <c r="D250" t="s">
        <v>460</v>
      </c>
      <c r="E250" s="5"/>
      <c r="F250" t="s">
        <v>461</v>
      </c>
    </row>
    <row r="251" spans="1:10" ht="15">
      <c r="A251" s="36"/>
      <c r="E251" s="5"/>
      <c r="J251" s="36" t="s">
        <v>355</v>
      </c>
    </row>
    <row r="252" spans="1:10" ht="15">
      <c r="A252" s="36"/>
      <c r="B252" t="s">
        <v>199</v>
      </c>
      <c r="C252" s="38"/>
      <c r="D252" s="38">
        <v>0</v>
      </c>
      <c r="J252" s="36"/>
    </row>
    <row r="253" spans="1:10" ht="15">
      <c r="A253" s="36"/>
      <c r="B253" t="s">
        <v>462</v>
      </c>
      <c r="C253" s="38"/>
      <c r="D253" s="38"/>
      <c r="J253" s="36"/>
    </row>
    <row r="254" spans="1:10" ht="15">
      <c r="A254" s="36"/>
      <c r="C254" s="38" t="s">
        <v>463</v>
      </c>
      <c r="D254" s="38">
        <f>E265*0.2</f>
        <v>189370.25333333333</v>
      </c>
      <c r="H254" t="s">
        <v>464</v>
      </c>
      <c r="J254" s="36"/>
    </row>
    <row r="255" spans="1:10" ht="15">
      <c r="A255" s="36"/>
      <c r="C255" s="38" t="s">
        <v>465</v>
      </c>
      <c r="D255" s="38">
        <f>(946851-410000)*6/17</f>
        <v>189476.82352941178</v>
      </c>
      <c r="H255" t="s">
        <v>466</v>
      </c>
      <c r="J255" s="36"/>
    </row>
    <row r="256" spans="1:10" ht="15">
      <c r="A256" s="36"/>
      <c r="C256" t="s">
        <v>467</v>
      </c>
      <c r="D256" s="38">
        <f>D255-D254</f>
        <v>106.57019607844995</v>
      </c>
      <c r="J256" s="36"/>
    </row>
    <row r="257" spans="1:10" ht="15">
      <c r="A257" s="36"/>
      <c r="B257" t="s">
        <v>468</v>
      </c>
      <c r="D257" s="38">
        <f>D252-D256</f>
        <v>-106.57019607844995</v>
      </c>
      <c r="J257" s="36"/>
    </row>
    <row r="258" spans="1:10" ht="15">
      <c r="A258" s="36"/>
      <c r="J258" s="36"/>
    </row>
    <row r="259" spans="1:10" ht="15">
      <c r="A259" s="36"/>
      <c r="J259" s="36"/>
    </row>
    <row r="260" spans="1:10" ht="15">
      <c r="A260" s="36"/>
      <c r="B260" t="s">
        <v>469</v>
      </c>
      <c r="J260" s="36"/>
    </row>
    <row r="261" spans="1:10" ht="15">
      <c r="A261" s="36"/>
      <c r="C261" t="s">
        <v>470</v>
      </c>
      <c r="E261" s="38">
        <f>F136</f>
        <v>800001.2666666666</v>
      </c>
      <c r="J261" s="36">
        <v>2</v>
      </c>
    </row>
    <row r="262" spans="1:10" ht="15">
      <c r="A262" s="36"/>
      <c r="C262" t="s">
        <v>471</v>
      </c>
      <c r="E262" s="38">
        <v>150000</v>
      </c>
      <c r="J262" s="36"/>
    </row>
    <row r="263" spans="1:10" ht="15">
      <c r="A263" s="36"/>
      <c r="C263" t="s">
        <v>472</v>
      </c>
      <c r="E263" s="38">
        <f>E203</f>
        <v>8850</v>
      </c>
      <c r="J263" s="36">
        <v>5</v>
      </c>
    </row>
    <row r="264" spans="1:10" ht="15">
      <c r="A264" s="36"/>
      <c r="C264" t="s">
        <v>473</v>
      </c>
      <c r="E264" s="38">
        <f>E183/0.2</f>
        <v>-12000</v>
      </c>
      <c r="I264" t="s">
        <v>474</v>
      </c>
      <c r="J264" s="36">
        <v>4</v>
      </c>
    </row>
    <row r="265" spans="1:10" ht="15">
      <c r="A265" s="36"/>
      <c r="C265" t="s">
        <v>52</v>
      </c>
      <c r="E265" s="38">
        <f>SUM(E261:E264)</f>
        <v>946851.2666666666</v>
      </c>
      <c r="J265" s="36"/>
    </row>
    <row r="266" spans="1:10" ht="15">
      <c r="A266" s="36"/>
      <c r="E266" s="40"/>
      <c r="J266" s="36"/>
    </row>
    <row r="267" spans="1:10" ht="15">
      <c r="A267" s="36"/>
      <c r="E267" s="40"/>
      <c r="J267" s="36"/>
    </row>
    <row r="268" spans="1:10" ht="15">
      <c r="A268" s="36"/>
      <c r="B268" t="s">
        <v>475</v>
      </c>
      <c r="E268" s="40"/>
      <c r="J268" s="36"/>
    </row>
    <row r="269" spans="1:10" ht="15">
      <c r="A269" s="36"/>
      <c r="C269" t="s">
        <v>294</v>
      </c>
      <c r="E269" s="38">
        <f>(380000-400000*8/10)*2.6/17</f>
        <v>9176.4705882352937</v>
      </c>
      <c r="H269" t="s">
        <v>476</v>
      </c>
      <c r="J269" s="36"/>
    </row>
    <row r="270" spans="1:10" ht="15">
      <c r="A270" s="36"/>
      <c r="C270" t="s">
        <v>343</v>
      </c>
      <c r="E270" s="45">
        <f>E269*0.25*-1</f>
        <v>-2294.1176470588234</v>
      </c>
      <c r="H270" s="36"/>
      <c r="J270" s="36"/>
    </row>
    <row r="271" spans="1:10" ht="15">
      <c r="A271" s="36"/>
      <c r="C271" t="s">
        <v>344</v>
      </c>
      <c r="E271" s="52">
        <f>(96000-100000*8/10)*2.6/17</f>
        <v>2447.0588235294117</v>
      </c>
      <c r="H271" s="53" t="s">
        <v>477</v>
      </c>
      <c r="J271" s="36"/>
    </row>
    <row r="272" spans="1:10" ht="15">
      <c r="A272" s="36"/>
      <c r="C272" t="s">
        <v>343</v>
      </c>
      <c r="E272" s="45">
        <f>E271*0.25*-1</f>
        <v>-611.76470588235293</v>
      </c>
      <c r="H272" s="36"/>
      <c r="J272" s="36"/>
    </row>
    <row r="273" spans="1:12" ht="15">
      <c r="A273" s="36"/>
      <c r="C273" t="s">
        <v>42</v>
      </c>
      <c r="E273" s="52">
        <f>(40000-33000)*2.6/17</f>
        <v>1070.5882352941176</v>
      </c>
      <c r="H273" s="53" t="s">
        <v>478</v>
      </c>
      <c r="J273" s="36"/>
    </row>
    <row r="274" spans="1:12" ht="15">
      <c r="A274" s="36"/>
      <c r="C274" t="s">
        <v>343</v>
      </c>
      <c r="E274" s="45">
        <f>E273*0.25*-1</f>
        <v>-267.64705882352939</v>
      </c>
      <c r="J274" s="36"/>
    </row>
    <row r="275" spans="1:12" ht="15">
      <c r="A275" s="36"/>
      <c r="C275" t="s">
        <v>298</v>
      </c>
      <c r="E275" s="38">
        <f>(170000-152120*13/15)*2.6/17</f>
        <v>5836.6431372549005</v>
      </c>
      <c r="H275" t="s">
        <v>479</v>
      </c>
      <c r="J275" s="36"/>
    </row>
    <row r="276" spans="1:12" ht="15">
      <c r="A276" s="36"/>
      <c r="C276" t="s">
        <v>343</v>
      </c>
      <c r="E276" s="45">
        <f>E275*0.25*-1</f>
        <v>-1459.1607843137251</v>
      </c>
      <c r="J276" s="36"/>
    </row>
    <row r="277" spans="1:12" ht="15">
      <c r="A277" s="36"/>
      <c r="C277" t="s">
        <v>347</v>
      </c>
      <c r="E277" s="45">
        <v>0</v>
      </c>
      <c r="F277" s="58" t="s">
        <v>480</v>
      </c>
    </row>
    <row r="278" spans="1:12" ht="15">
      <c r="A278" s="36"/>
      <c r="C278" t="s">
        <v>343</v>
      </c>
      <c r="E278" s="45">
        <f>E277*0.25*-1</f>
        <v>0</v>
      </c>
      <c r="F278" t="s">
        <v>481</v>
      </c>
    </row>
    <row r="279" spans="1:12" ht="15">
      <c r="A279" s="36"/>
      <c r="C279" t="s">
        <v>173</v>
      </c>
      <c r="E279" s="38">
        <f>SUM(E269:E278)*-1+E280</f>
        <v>-14004.640784313742</v>
      </c>
      <c r="J279" s="36" t="s">
        <v>325</v>
      </c>
    </row>
    <row r="280" spans="1:12" ht="15">
      <c r="A280" s="36"/>
      <c r="C280" t="s">
        <v>52</v>
      </c>
      <c r="E280" s="38">
        <f>D257</f>
        <v>-106.57019607844995</v>
      </c>
    </row>
    <row r="281" spans="1:12" ht="15">
      <c r="A281" s="36"/>
      <c r="E281" s="59"/>
    </row>
    <row r="282" spans="1:12" ht="15">
      <c r="A282" s="36"/>
      <c r="E282" s="59"/>
    </row>
    <row r="283" spans="1:12" ht="15">
      <c r="A283" s="36">
        <v>8</v>
      </c>
      <c r="B283" s="12" t="s">
        <v>482</v>
      </c>
    </row>
    <row r="284" spans="1:12" ht="15">
      <c r="A284" s="36"/>
    </row>
    <row r="285" spans="1:12" ht="15">
      <c r="A285" s="36"/>
      <c r="B285" t="s">
        <v>483</v>
      </c>
    </row>
    <row r="286" spans="1:12" ht="15">
      <c r="A286" s="36"/>
    </row>
    <row r="287" spans="1:12" ht="15">
      <c r="A287" s="36"/>
      <c r="E287" s="38"/>
      <c r="I287" s="4">
        <v>1143850</v>
      </c>
      <c r="L287" s="36"/>
    </row>
    <row r="288" spans="1:12" ht="15">
      <c r="A288" s="36"/>
      <c r="E288" s="38"/>
      <c r="L288" s="36" t="s">
        <v>288</v>
      </c>
    </row>
    <row r="289" spans="1:12" ht="15">
      <c r="A289" s="36"/>
      <c r="B289" t="s">
        <v>338</v>
      </c>
      <c r="E289" s="38">
        <f>0.3*(743850+400000)</f>
        <v>343155</v>
      </c>
      <c r="J289" t="s">
        <v>484</v>
      </c>
      <c r="L289" s="36"/>
    </row>
    <row r="290" spans="1:12" ht="15">
      <c r="A290" s="36"/>
      <c r="E290" s="38"/>
      <c r="L290" s="36"/>
    </row>
    <row r="291" spans="1:12" ht="15">
      <c r="A291" s="36"/>
      <c r="B291" t="s">
        <v>340</v>
      </c>
      <c r="E291" s="38"/>
      <c r="L291" s="36"/>
    </row>
    <row r="292" spans="1:12" ht="15">
      <c r="A292" s="36"/>
      <c r="C292" t="s">
        <v>298</v>
      </c>
      <c r="E292" s="38">
        <f>F81*0.3/(6/17)</f>
        <v>7934.057142857142</v>
      </c>
      <c r="J292" t="s">
        <v>485</v>
      </c>
      <c r="L292" s="36"/>
    </row>
    <row r="293" spans="1:12" ht="15">
      <c r="A293" s="36"/>
      <c r="C293" t="s">
        <v>343</v>
      </c>
      <c r="E293" s="38">
        <f>E292*0.25*-1</f>
        <v>-1983.5142857142855</v>
      </c>
      <c r="L293" s="36"/>
    </row>
    <row r="294" spans="1:12" ht="15">
      <c r="A294" s="36"/>
      <c r="C294" t="s">
        <v>347</v>
      </c>
      <c r="E294" s="38">
        <f>F83*0.3/(6/17)</f>
        <v>-11583.119999999999</v>
      </c>
      <c r="J294" t="s">
        <v>486</v>
      </c>
      <c r="L294" s="36">
        <v>6</v>
      </c>
    </row>
    <row r="295" spans="1:12" ht="15">
      <c r="A295" s="36"/>
      <c r="C295" t="s">
        <v>343</v>
      </c>
      <c r="E295" s="38">
        <f>E294*0.25*-1</f>
        <v>2895.7799999999997</v>
      </c>
      <c r="L295" s="36"/>
    </row>
    <row r="296" spans="1:12" ht="15">
      <c r="A296" s="36"/>
      <c r="C296" t="s">
        <v>173</v>
      </c>
      <c r="E296" s="38">
        <f>F85*0.3/(6/17)</f>
        <v>33838.5</v>
      </c>
      <c r="J296" t="s">
        <v>487</v>
      </c>
      <c r="L296" s="36"/>
    </row>
    <row r="297" spans="1:12" ht="15">
      <c r="A297" s="36"/>
      <c r="C297" t="s">
        <v>52</v>
      </c>
      <c r="E297" s="38">
        <f>SUM(E292:E296)</f>
        <v>31101.702857142856</v>
      </c>
      <c r="L297" s="36"/>
    </row>
    <row r="298" spans="1:12" ht="15">
      <c r="A298" s="36"/>
      <c r="E298" s="38"/>
      <c r="L298" s="36"/>
    </row>
    <row r="299" spans="1:12" ht="15">
      <c r="A299" s="36"/>
      <c r="B299" t="s">
        <v>52</v>
      </c>
      <c r="E299" s="38">
        <f>E289+E297</f>
        <v>374256.70285714284</v>
      </c>
    </row>
    <row r="300" spans="1:12" ht="15">
      <c r="A300" s="36"/>
      <c r="E300" s="38"/>
    </row>
    <row r="301" spans="1:12" ht="15">
      <c r="A301" s="36"/>
      <c r="E301" s="38"/>
    </row>
    <row r="302" spans="1:12" ht="15">
      <c r="A302" s="36"/>
    </row>
    <row r="303" spans="1:12" ht="15">
      <c r="A303" s="36"/>
    </row>
    <row r="304" spans="1:12" ht="15">
      <c r="A304" s="36"/>
    </row>
    <row r="305" spans="1:1" ht="15">
      <c r="A305" s="36"/>
    </row>
    <row r="306" spans="1:1" ht="15">
      <c r="A306" s="36"/>
    </row>
    <row r="307" spans="1:1" ht="15">
      <c r="A307" s="36"/>
    </row>
    <row r="308" spans="1:1" ht="15">
      <c r="A308" s="36"/>
    </row>
    <row r="309" spans="1:1" ht="15">
      <c r="A309" s="36"/>
    </row>
    <row r="310" spans="1:1" ht="15">
      <c r="A310" s="36"/>
    </row>
    <row r="311" spans="1:1" ht="15">
      <c r="A311" s="36"/>
    </row>
    <row r="312" spans="1:1" ht="15">
      <c r="A312" s="36"/>
    </row>
    <row r="313" spans="1:1" ht="15">
      <c r="A313" s="36"/>
    </row>
    <row r="314" spans="1:1" ht="15">
      <c r="A314" s="36"/>
    </row>
    <row r="315" spans="1:1" ht="15">
      <c r="A315" s="36"/>
    </row>
    <row r="316" spans="1:1" ht="15">
      <c r="A316" s="36"/>
    </row>
    <row r="317" spans="1:1" ht="15">
      <c r="A317" s="36"/>
    </row>
    <row r="318" spans="1:1" ht="15">
      <c r="A318" s="36"/>
    </row>
    <row r="319" spans="1:1" ht="15">
      <c r="A319" s="36"/>
    </row>
    <row r="320" spans="1:1" ht="15">
      <c r="A320" s="36"/>
    </row>
    <row r="321" spans="1:1" ht="15">
      <c r="A321" s="36"/>
    </row>
    <row r="322" spans="1:1" ht="15">
      <c r="A322" s="36"/>
    </row>
    <row r="323" spans="1:1" ht="15">
      <c r="A323" s="36"/>
    </row>
    <row r="324" spans="1:1" ht="15">
      <c r="A324" s="36"/>
    </row>
    <row r="325" spans="1:1" ht="15">
      <c r="A325" s="36"/>
    </row>
    <row r="326" spans="1:1" ht="15">
      <c r="A326" s="36"/>
    </row>
    <row r="327" spans="1:1" ht="15">
      <c r="A327" s="36"/>
    </row>
    <row r="328" spans="1:1" ht="15">
      <c r="A328" s="36"/>
    </row>
    <row r="329" spans="1:1" ht="15">
      <c r="A329" s="36"/>
    </row>
    <row r="330" spans="1:1" ht="15">
      <c r="A330" s="36"/>
    </row>
    <row r="331" spans="1:1" ht="15">
      <c r="A331" s="36"/>
    </row>
    <row r="332" spans="1:1" ht="15">
      <c r="A332" s="36"/>
    </row>
    <row r="333" spans="1:1" ht="15">
      <c r="A333" s="36"/>
    </row>
    <row r="334" spans="1:1" ht="15">
      <c r="A334" s="36"/>
    </row>
    <row r="335" spans="1:1" ht="15">
      <c r="A335" s="36"/>
    </row>
    <row r="336" spans="1:1" ht="15">
      <c r="A336" s="36"/>
    </row>
    <row r="337" spans="1:1" ht="15">
      <c r="A337" s="36"/>
    </row>
    <row r="338" spans="1:1" ht="15">
      <c r="A338" s="36"/>
    </row>
    <row r="339" spans="1:1" ht="15">
      <c r="A339" s="36"/>
    </row>
    <row r="340" spans="1:1" ht="15">
      <c r="A340" s="36"/>
    </row>
    <row r="341" spans="1:1" ht="15">
      <c r="A341" s="36"/>
    </row>
    <row r="342" spans="1:1" ht="15">
      <c r="A342" s="36"/>
    </row>
    <row r="343" spans="1:1" ht="15">
      <c r="A343" s="36"/>
    </row>
    <row r="344" spans="1:1" ht="15">
      <c r="A344" s="36"/>
    </row>
    <row r="345" spans="1:1" ht="15">
      <c r="A345" s="36"/>
    </row>
    <row r="346" spans="1:1" ht="15">
      <c r="A346" s="36"/>
    </row>
    <row r="347" spans="1:1" ht="15">
      <c r="A347" s="36"/>
    </row>
    <row r="348" spans="1:1" ht="15">
      <c r="A348" s="36"/>
    </row>
    <row r="349" spans="1:1" ht="15">
      <c r="A349" s="36"/>
    </row>
    <row r="350" spans="1:1" ht="15">
      <c r="A350" s="36"/>
    </row>
    <row r="351" spans="1:1" ht="15">
      <c r="A351" s="36"/>
    </row>
    <row r="352" spans="1:1" ht="15">
      <c r="A352" s="36"/>
    </row>
    <row r="353" spans="1:1" ht="15">
      <c r="A353" s="36"/>
    </row>
    <row r="354" spans="1:1" ht="15">
      <c r="A354" s="36"/>
    </row>
    <row r="355" spans="1:1" ht="15">
      <c r="A355" s="36"/>
    </row>
    <row r="356" spans="1:1" ht="15">
      <c r="A356" s="36"/>
    </row>
    <row r="357" spans="1:1" ht="15">
      <c r="A357" s="36"/>
    </row>
    <row r="358" spans="1:1" ht="15">
      <c r="A358" s="36"/>
    </row>
    <row r="359" spans="1:1" ht="15">
      <c r="A359" s="36"/>
    </row>
    <row r="360" spans="1:1" ht="15">
      <c r="A360" s="36"/>
    </row>
    <row r="361" spans="1:1" ht="15">
      <c r="A361" s="36"/>
    </row>
    <row r="362" spans="1:1" ht="15">
      <c r="A362" s="36"/>
    </row>
    <row r="363" spans="1:1" ht="15">
      <c r="A363" s="36"/>
    </row>
    <row r="364" spans="1:1" ht="15">
      <c r="A364" s="36"/>
    </row>
    <row r="365" spans="1:1" ht="15">
      <c r="A365" s="36"/>
    </row>
    <row r="366" spans="1:1" ht="15">
      <c r="A366" s="36"/>
    </row>
    <row r="367" spans="1:1" ht="15">
      <c r="A367" s="36"/>
    </row>
    <row r="368" spans="1:1" ht="15">
      <c r="A368" s="36"/>
    </row>
    <row r="369" spans="1:1" ht="15">
      <c r="A369" s="36"/>
    </row>
    <row r="370" spans="1:1" ht="15">
      <c r="A370" s="36"/>
    </row>
    <row r="371" spans="1:1" ht="15">
      <c r="A371" s="36"/>
    </row>
    <row r="372" spans="1:1" ht="15">
      <c r="A372" s="36"/>
    </row>
    <row r="373" spans="1:1" ht="15">
      <c r="A373" s="36"/>
    </row>
    <row r="374" spans="1:1" ht="15">
      <c r="A374" s="36"/>
    </row>
    <row r="375" spans="1:1" ht="15">
      <c r="A375" s="36"/>
    </row>
    <row r="376" spans="1:1" ht="15">
      <c r="A376" s="36"/>
    </row>
    <row r="377" spans="1:1" ht="15">
      <c r="A377" s="36"/>
    </row>
    <row r="378" spans="1:1" ht="15">
      <c r="A378" s="36"/>
    </row>
    <row r="379" spans="1:1" ht="15">
      <c r="A379" s="36"/>
    </row>
    <row r="380" spans="1:1" ht="15">
      <c r="A380" s="36"/>
    </row>
    <row r="381" spans="1:1" ht="15">
      <c r="A381" s="36"/>
    </row>
    <row r="382" spans="1:1" ht="15">
      <c r="A382" s="36"/>
    </row>
    <row r="383" spans="1:1" ht="15">
      <c r="A383" s="36"/>
    </row>
    <row r="384" spans="1:1" ht="15">
      <c r="A384" s="36"/>
    </row>
    <row r="385" spans="1:1" ht="15">
      <c r="A385" s="36"/>
    </row>
    <row r="386" spans="1:1" ht="15">
      <c r="A386" s="36"/>
    </row>
    <row r="387" spans="1:1" ht="15">
      <c r="A387" s="36"/>
    </row>
    <row r="388" spans="1:1" ht="15">
      <c r="A388" s="36"/>
    </row>
    <row r="389" spans="1:1" ht="15">
      <c r="A389" s="36"/>
    </row>
    <row r="390" spans="1:1" ht="15">
      <c r="A390" s="36"/>
    </row>
    <row r="391" spans="1:1" ht="15">
      <c r="A391" s="36"/>
    </row>
    <row r="392" spans="1:1" ht="15">
      <c r="A392" s="36"/>
    </row>
    <row r="393" spans="1:1" ht="15">
      <c r="A393" s="36"/>
    </row>
    <row r="394" spans="1:1" ht="15">
      <c r="A394" s="36"/>
    </row>
    <row r="395" spans="1:1" ht="15">
      <c r="A395" s="36"/>
    </row>
    <row r="396" spans="1:1" ht="15">
      <c r="A396" s="36"/>
    </row>
    <row r="397" spans="1:1" ht="15">
      <c r="A397" s="36"/>
    </row>
    <row r="398" spans="1:1" ht="15">
      <c r="A398" s="36"/>
    </row>
    <row r="399" spans="1:1" ht="15">
      <c r="A399" s="36"/>
    </row>
    <row r="400" spans="1:1" ht="15">
      <c r="A400" s="36"/>
    </row>
    <row r="401" spans="1:1" ht="15">
      <c r="A401" s="36"/>
    </row>
    <row r="402" spans="1:1" ht="15">
      <c r="A402" s="36"/>
    </row>
    <row r="403" spans="1:1" ht="15">
      <c r="A403" s="36"/>
    </row>
    <row r="404" spans="1:1" ht="15">
      <c r="A404" s="36"/>
    </row>
    <row r="405" spans="1:1" ht="15">
      <c r="A405" s="36"/>
    </row>
    <row r="406" spans="1:1" ht="15">
      <c r="A406" s="36"/>
    </row>
    <row r="407" spans="1:1" ht="15">
      <c r="A407" s="36"/>
    </row>
    <row r="408" spans="1:1" ht="15">
      <c r="A408" s="36"/>
    </row>
    <row r="409" spans="1:1" ht="15">
      <c r="A409" s="36"/>
    </row>
    <row r="410" spans="1:1" ht="15">
      <c r="A410" s="36"/>
    </row>
    <row r="411" spans="1:1" ht="15">
      <c r="A411" s="36"/>
    </row>
    <row r="412" spans="1:1" ht="15">
      <c r="A412" s="36"/>
    </row>
    <row r="413" spans="1:1" ht="15">
      <c r="A413" s="36"/>
    </row>
    <row r="414" spans="1:1" ht="15">
      <c r="A414" s="36"/>
    </row>
    <row r="415" spans="1:1" ht="15">
      <c r="A415" s="36"/>
    </row>
    <row r="416" spans="1:1" ht="15">
      <c r="A416" s="36"/>
    </row>
    <row r="417" spans="1:1" ht="15">
      <c r="A417" s="36"/>
    </row>
    <row r="418" spans="1:1" ht="15">
      <c r="A418" s="36"/>
    </row>
    <row r="419" spans="1:1" ht="15">
      <c r="A419" s="36"/>
    </row>
    <row r="420" spans="1:1" ht="15">
      <c r="A420" s="36"/>
    </row>
    <row r="421" spans="1:1" ht="15">
      <c r="A421" s="36"/>
    </row>
    <row r="422" spans="1:1" ht="15">
      <c r="A422" s="36"/>
    </row>
    <row r="423" spans="1:1" ht="15">
      <c r="A423" s="36"/>
    </row>
    <row r="424" spans="1:1" ht="15">
      <c r="A424" s="36"/>
    </row>
    <row r="425" spans="1:1" ht="15">
      <c r="A425" s="36"/>
    </row>
    <row r="426" spans="1:1" ht="15">
      <c r="A426" s="36"/>
    </row>
    <row r="427" spans="1:1" ht="15">
      <c r="A427" s="36"/>
    </row>
    <row r="428" spans="1:1" ht="15">
      <c r="A428" s="36"/>
    </row>
    <row r="429" spans="1:1" ht="15">
      <c r="A429" s="36"/>
    </row>
    <row r="430" spans="1:1" ht="15">
      <c r="A430" s="36"/>
    </row>
    <row r="431" spans="1:1" ht="15">
      <c r="A431" s="36"/>
    </row>
    <row r="432" spans="1:1" ht="15">
      <c r="A432" s="36"/>
    </row>
    <row r="433" spans="1:1" ht="15">
      <c r="A433" s="36"/>
    </row>
    <row r="434" spans="1:1" ht="15">
      <c r="A434" s="36"/>
    </row>
    <row r="435" spans="1:1" ht="15">
      <c r="A435" s="36"/>
    </row>
    <row r="436" spans="1:1" ht="15">
      <c r="A436" s="36"/>
    </row>
    <row r="437" spans="1:1" ht="15">
      <c r="A437" s="36"/>
    </row>
    <row r="438" spans="1:1" ht="15">
      <c r="A438" s="36"/>
    </row>
    <row r="439" spans="1:1" ht="15">
      <c r="A439" s="36"/>
    </row>
    <row r="440" spans="1:1" ht="15">
      <c r="A440" s="36"/>
    </row>
    <row r="441" spans="1:1" ht="15">
      <c r="A441" s="36"/>
    </row>
    <row r="442" spans="1:1" ht="15">
      <c r="A442" s="36"/>
    </row>
    <row r="443" spans="1:1" ht="15">
      <c r="A443" s="36"/>
    </row>
    <row r="444" spans="1:1" ht="15">
      <c r="A444" s="36"/>
    </row>
    <row r="445" spans="1:1" ht="15">
      <c r="A445" s="36"/>
    </row>
    <row r="446" spans="1:1" ht="15">
      <c r="A446" s="36"/>
    </row>
    <row r="447" spans="1:1" ht="15">
      <c r="A447" s="36"/>
    </row>
    <row r="448" spans="1:1" ht="15">
      <c r="A448" s="36"/>
    </row>
    <row r="449" spans="1:1" ht="15">
      <c r="A449" s="36"/>
    </row>
    <row r="450" spans="1:1" ht="15">
      <c r="A450" s="36"/>
    </row>
    <row r="451" spans="1:1" ht="15">
      <c r="A451" s="36"/>
    </row>
    <row r="452" spans="1:1" ht="15">
      <c r="A452" s="36"/>
    </row>
    <row r="453" spans="1:1" ht="15">
      <c r="A453" s="36"/>
    </row>
    <row r="454" spans="1:1" ht="15">
      <c r="A454" s="36"/>
    </row>
    <row r="455" spans="1:1" ht="15">
      <c r="A455" s="36"/>
    </row>
    <row r="456" spans="1:1" ht="15">
      <c r="A456" s="36"/>
    </row>
    <row r="457" spans="1:1" ht="15">
      <c r="A457" s="36"/>
    </row>
    <row r="458" spans="1:1" ht="15">
      <c r="A458" s="36"/>
    </row>
    <row r="459" spans="1:1" ht="15">
      <c r="A459" s="36"/>
    </row>
    <row r="460" spans="1:1" ht="15">
      <c r="A460" s="36"/>
    </row>
    <row r="461" spans="1:1" ht="15">
      <c r="A461" s="36"/>
    </row>
    <row r="462" spans="1:1" ht="15">
      <c r="A462" s="36"/>
    </row>
    <row r="463" spans="1:1" ht="15">
      <c r="A463" s="36"/>
    </row>
    <row r="464" spans="1:1" ht="15">
      <c r="A464" s="36"/>
    </row>
    <row r="465" spans="1:1" ht="15">
      <c r="A465" s="36"/>
    </row>
    <row r="466" spans="1:1" ht="15">
      <c r="A466" s="36"/>
    </row>
    <row r="467" spans="1:1" ht="15">
      <c r="A467" s="36"/>
    </row>
    <row r="468" spans="1:1" ht="15">
      <c r="A468" s="36"/>
    </row>
    <row r="469" spans="1:1" ht="15">
      <c r="A469" s="36"/>
    </row>
    <row r="470" spans="1:1" ht="15">
      <c r="A470" s="36"/>
    </row>
    <row r="471" spans="1:1" ht="15">
      <c r="A471" s="36"/>
    </row>
    <row r="472" spans="1:1" ht="15">
      <c r="A472" s="36"/>
    </row>
    <row r="473" spans="1:1" ht="15">
      <c r="A473" s="36"/>
    </row>
    <row r="474" spans="1:1" ht="15">
      <c r="A474" s="36"/>
    </row>
    <row r="475" spans="1:1" ht="15">
      <c r="A475" s="36"/>
    </row>
    <row r="476" spans="1:1" ht="15">
      <c r="A476" s="36"/>
    </row>
    <row r="477" spans="1:1" ht="15">
      <c r="A477" s="36"/>
    </row>
    <row r="478" spans="1:1" ht="15">
      <c r="A478" s="36"/>
    </row>
    <row r="479" spans="1:1" ht="15">
      <c r="A479" s="36"/>
    </row>
    <row r="480" spans="1:1" ht="15">
      <c r="A480" s="36"/>
    </row>
    <row r="481" spans="1:1" ht="15">
      <c r="A481" s="36"/>
    </row>
    <row r="482" spans="1:1" ht="15">
      <c r="A482" s="36"/>
    </row>
    <row r="483" spans="1:1" ht="15">
      <c r="A483" s="36"/>
    </row>
    <row r="484" spans="1:1" ht="15">
      <c r="A484" s="36"/>
    </row>
    <row r="485" spans="1:1" ht="15">
      <c r="A485" s="36"/>
    </row>
    <row r="486" spans="1:1" ht="15">
      <c r="A486" s="36"/>
    </row>
    <row r="487" spans="1:1" ht="15">
      <c r="A487" s="36"/>
    </row>
    <row r="488" spans="1:1" ht="15">
      <c r="A488" s="36"/>
    </row>
    <row r="489" spans="1:1" ht="15">
      <c r="A489" s="36"/>
    </row>
    <row r="490" spans="1:1" ht="15">
      <c r="A490" s="36"/>
    </row>
    <row r="491" spans="1:1" ht="15">
      <c r="A491" s="36"/>
    </row>
    <row r="492" spans="1:1" ht="15">
      <c r="A492" s="36"/>
    </row>
    <row r="493" spans="1:1" ht="15">
      <c r="A493" s="36"/>
    </row>
    <row r="494" spans="1:1" ht="15">
      <c r="A494" s="36"/>
    </row>
    <row r="495" spans="1:1" ht="15">
      <c r="A495" s="36"/>
    </row>
    <row r="496" spans="1:1" ht="15">
      <c r="A496" s="36"/>
    </row>
    <row r="497" spans="1:1" ht="15">
      <c r="A497" s="36"/>
    </row>
    <row r="498" spans="1:1" ht="15">
      <c r="A498" s="36"/>
    </row>
    <row r="499" spans="1:1" ht="15">
      <c r="A499" s="36"/>
    </row>
    <row r="500" spans="1:1" ht="15">
      <c r="A500" s="36"/>
    </row>
    <row r="501" spans="1:1" ht="15">
      <c r="A501" s="36"/>
    </row>
    <row r="502" spans="1:1" ht="15">
      <c r="A502" s="36"/>
    </row>
    <row r="503" spans="1:1" ht="15">
      <c r="A503" s="36"/>
    </row>
    <row r="504" spans="1:1" ht="15">
      <c r="A504" s="36"/>
    </row>
    <row r="505" spans="1:1" ht="15">
      <c r="A505" s="36"/>
    </row>
    <row r="506" spans="1:1" ht="15">
      <c r="A506" s="36"/>
    </row>
    <row r="507" spans="1:1" ht="15">
      <c r="A507" s="36"/>
    </row>
    <row r="508" spans="1:1" ht="15">
      <c r="A508" s="36"/>
    </row>
    <row r="509" spans="1:1" ht="15">
      <c r="A509" s="36"/>
    </row>
    <row r="510" spans="1:1" ht="15">
      <c r="A510" s="36"/>
    </row>
    <row r="511" spans="1:1" ht="15">
      <c r="A511" s="36"/>
    </row>
    <row r="512" spans="1:1" ht="15">
      <c r="A512" s="36"/>
    </row>
    <row r="513" spans="1:1" ht="15">
      <c r="A513" s="36"/>
    </row>
    <row r="514" spans="1:1" ht="15">
      <c r="A514" s="36"/>
    </row>
    <row r="515" spans="1:1" ht="15">
      <c r="A515" s="36"/>
    </row>
    <row r="516" spans="1:1" ht="15">
      <c r="A516" s="36"/>
    </row>
    <row r="517" spans="1:1" ht="15">
      <c r="A517" s="36"/>
    </row>
    <row r="518" spans="1:1" ht="15">
      <c r="A518" s="36"/>
    </row>
    <row r="519" spans="1:1" ht="15">
      <c r="A519" s="36"/>
    </row>
    <row r="520" spans="1:1" ht="15">
      <c r="A520" s="36"/>
    </row>
    <row r="521" spans="1:1" ht="15">
      <c r="A521" s="36"/>
    </row>
    <row r="522" spans="1:1" ht="15">
      <c r="A522" s="36"/>
    </row>
    <row r="523" spans="1:1" ht="15">
      <c r="A523" s="36"/>
    </row>
    <row r="524" spans="1:1" ht="15">
      <c r="A524" s="36"/>
    </row>
    <row r="525" spans="1:1" ht="15">
      <c r="A525" s="36"/>
    </row>
    <row r="526" spans="1:1" ht="15">
      <c r="A526" s="36"/>
    </row>
    <row r="527" spans="1:1" ht="15">
      <c r="A527" s="36"/>
    </row>
    <row r="528" spans="1:1" ht="15">
      <c r="A528" s="36"/>
    </row>
    <row r="529" spans="1:1" ht="15">
      <c r="A529" s="36"/>
    </row>
    <row r="530" spans="1:1" ht="15">
      <c r="A530" s="36"/>
    </row>
    <row r="531" spans="1:1" ht="15">
      <c r="A531" s="36"/>
    </row>
    <row r="532" spans="1:1" ht="15">
      <c r="A532" s="36"/>
    </row>
    <row r="533" spans="1:1" ht="15">
      <c r="A533" s="36"/>
    </row>
    <row r="534" spans="1:1" ht="15">
      <c r="A534" s="36"/>
    </row>
    <row r="535" spans="1:1" ht="15">
      <c r="A535" s="36"/>
    </row>
    <row r="536" spans="1:1" ht="15">
      <c r="A536" s="36"/>
    </row>
    <row r="537" spans="1:1" ht="15">
      <c r="A537" s="36"/>
    </row>
    <row r="538" spans="1:1" ht="15">
      <c r="A538" s="36"/>
    </row>
    <row r="539" spans="1:1" ht="15">
      <c r="A539" s="36"/>
    </row>
    <row r="540" spans="1:1" ht="15">
      <c r="A540" s="36"/>
    </row>
    <row r="541" spans="1:1" ht="15">
      <c r="A541" s="36"/>
    </row>
    <row r="542" spans="1:1" ht="15">
      <c r="A542" s="36"/>
    </row>
    <row r="543" spans="1:1" ht="15">
      <c r="A543" s="36"/>
    </row>
    <row r="544" spans="1:1" ht="15">
      <c r="A544" s="36"/>
    </row>
    <row r="545" spans="1:1" ht="15">
      <c r="A545" s="36"/>
    </row>
    <row r="546" spans="1:1" ht="15">
      <c r="A546" s="36"/>
    </row>
    <row r="547" spans="1:1" ht="15">
      <c r="A547" s="36"/>
    </row>
    <row r="548" spans="1:1" ht="15">
      <c r="A548" s="36"/>
    </row>
    <row r="549" spans="1:1" ht="15">
      <c r="A549" s="36"/>
    </row>
    <row r="550" spans="1:1" ht="15">
      <c r="A550" s="36"/>
    </row>
    <row r="551" spans="1:1" ht="15">
      <c r="A551" s="36"/>
    </row>
    <row r="552" spans="1:1" ht="15">
      <c r="A552" s="36"/>
    </row>
    <row r="553" spans="1:1" ht="15">
      <c r="A553" s="36"/>
    </row>
    <row r="554" spans="1:1" ht="15">
      <c r="A554" s="36"/>
    </row>
    <row r="555" spans="1:1" ht="15">
      <c r="A555" s="36"/>
    </row>
    <row r="556" spans="1:1" ht="15">
      <c r="A556" s="36"/>
    </row>
    <row r="557" spans="1:1" ht="15">
      <c r="A557" s="36"/>
    </row>
    <row r="558" spans="1:1" ht="15">
      <c r="A558" s="36"/>
    </row>
    <row r="559" spans="1:1" ht="15">
      <c r="A559" s="36"/>
    </row>
    <row r="560" spans="1:1" ht="15">
      <c r="A560" s="36"/>
    </row>
    <row r="561" spans="1:1" ht="15">
      <c r="A561" s="36"/>
    </row>
    <row r="562" spans="1:1" ht="15">
      <c r="A562" s="36"/>
    </row>
    <row r="563" spans="1:1" ht="15">
      <c r="A563" s="36"/>
    </row>
    <row r="564" spans="1:1" ht="15">
      <c r="A564" s="36"/>
    </row>
    <row r="565" spans="1:1" ht="15">
      <c r="A565" s="36"/>
    </row>
    <row r="566" spans="1:1" ht="15">
      <c r="A566" s="36"/>
    </row>
    <row r="567" spans="1:1" ht="15">
      <c r="A567" s="36"/>
    </row>
    <row r="568" spans="1:1" ht="15">
      <c r="A568" s="36"/>
    </row>
    <row r="569" spans="1:1" ht="15">
      <c r="A569" s="36"/>
    </row>
    <row r="570" spans="1:1" ht="15">
      <c r="A570" s="36"/>
    </row>
    <row r="571" spans="1:1" ht="15">
      <c r="A571" s="36"/>
    </row>
    <row r="572" spans="1:1" ht="15">
      <c r="A572" s="36"/>
    </row>
    <row r="573" spans="1:1" ht="15">
      <c r="A573" s="36"/>
    </row>
    <row r="574" spans="1:1" ht="15">
      <c r="A574" s="36"/>
    </row>
    <row r="575" spans="1:1" ht="15">
      <c r="A575" s="36"/>
    </row>
    <row r="576" spans="1:1" ht="15">
      <c r="A576" s="36"/>
    </row>
    <row r="577" spans="1:1" ht="15">
      <c r="A577" s="36"/>
    </row>
    <row r="578" spans="1:1" ht="15">
      <c r="A578" s="36"/>
    </row>
    <row r="579" spans="1:1" ht="15">
      <c r="A579" s="36"/>
    </row>
    <row r="580" spans="1:1" ht="15">
      <c r="A580" s="36"/>
    </row>
    <row r="581" spans="1:1" ht="15">
      <c r="A581" s="36"/>
    </row>
    <row r="582" spans="1:1" ht="15">
      <c r="A582" s="36"/>
    </row>
    <row r="583" spans="1:1" ht="15">
      <c r="A583" s="36"/>
    </row>
    <row r="584" spans="1:1" ht="15">
      <c r="A584" s="36"/>
    </row>
    <row r="585" spans="1:1" ht="15">
      <c r="A585" s="36"/>
    </row>
    <row r="586" spans="1:1" ht="15">
      <c r="A586" s="36"/>
    </row>
    <row r="587" spans="1:1" ht="15">
      <c r="A587" s="36"/>
    </row>
    <row r="588" spans="1:1" ht="15">
      <c r="A588" s="36"/>
    </row>
    <row r="589" spans="1:1" ht="15">
      <c r="A589" s="36"/>
    </row>
    <row r="590" spans="1:1" ht="15">
      <c r="A590" s="36"/>
    </row>
    <row r="591" spans="1:1" ht="15">
      <c r="A591" s="36"/>
    </row>
    <row r="592" spans="1:1" ht="15">
      <c r="A592" s="36"/>
    </row>
    <row r="593" spans="1:1" ht="15">
      <c r="A593" s="36"/>
    </row>
    <row r="594" spans="1:1" ht="15">
      <c r="A594" s="36"/>
    </row>
    <row r="595" spans="1:1" ht="15">
      <c r="A595" s="36"/>
    </row>
    <row r="596" spans="1:1" ht="15">
      <c r="A596" s="36"/>
    </row>
    <row r="597" spans="1:1" ht="15">
      <c r="A597" s="36"/>
    </row>
    <row r="598" spans="1:1" ht="15">
      <c r="A598" s="36"/>
    </row>
    <row r="599" spans="1:1" ht="15">
      <c r="A599" s="36"/>
    </row>
    <row r="600" spans="1:1" ht="15">
      <c r="A600" s="36"/>
    </row>
    <row r="601" spans="1:1" ht="15">
      <c r="A601" s="36"/>
    </row>
    <row r="602" spans="1:1" ht="15">
      <c r="A602" s="36"/>
    </row>
    <row r="603" spans="1:1" ht="15">
      <c r="A603" s="36"/>
    </row>
    <row r="604" spans="1:1" ht="15">
      <c r="A604" s="36"/>
    </row>
    <row r="605" spans="1:1" ht="15">
      <c r="A605" s="36"/>
    </row>
    <row r="606" spans="1:1" ht="15">
      <c r="A606" s="36"/>
    </row>
    <row r="607" spans="1:1" ht="15">
      <c r="A607" s="36"/>
    </row>
    <row r="608" spans="1:1" ht="15">
      <c r="A608" s="36"/>
    </row>
    <row r="609" spans="1:1" ht="15">
      <c r="A609" s="36"/>
    </row>
    <row r="610" spans="1:1" ht="15">
      <c r="A610" s="36"/>
    </row>
    <row r="611" spans="1:1" ht="15">
      <c r="A611" s="36"/>
    </row>
    <row r="612" spans="1:1" ht="15">
      <c r="A612" s="36"/>
    </row>
    <row r="613" spans="1:1" ht="15">
      <c r="A613" s="36"/>
    </row>
    <row r="614" spans="1:1" ht="15">
      <c r="A614" s="36"/>
    </row>
    <row r="615" spans="1:1" ht="15">
      <c r="A615" s="36"/>
    </row>
    <row r="616" spans="1:1" ht="15">
      <c r="A616" s="36"/>
    </row>
    <row r="617" spans="1:1" ht="15">
      <c r="A617" s="36"/>
    </row>
    <row r="618" spans="1:1" ht="15">
      <c r="A618" s="36"/>
    </row>
    <row r="619" spans="1:1" ht="15">
      <c r="A619" s="36"/>
    </row>
    <row r="620" spans="1:1" ht="15">
      <c r="A620" s="36"/>
    </row>
    <row r="621" spans="1:1" ht="15">
      <c r="A621" s="36"/>
    </row>
    <row r="622" spans="1:1" ht="15">
      <c r="A622" s="36"/>
    </row>
    <row r="623" spans="1:1" ht="15">
      <c r="A623" s="36"/>
    </row>
    <row r="624" spans="1:1" ht="15">
      <c r="A624" s="36"/>
    </row>
    <row r="625" spans="1:1" ht="15">
      <c r="A625" s="36"/>
    </row>
    <row r="626" spans="1:1" ht="15">
      <c r="A626" s="36"/>
    </row>
    <row r="627" spans="1:1" ht="15">
      <c r="A627" s="36"/>
    </row>
    <row r="628" spans="1:1" ht="15">
      <c r="A628" s="36"/>
    </row>
    <row r="629" spans="1:1" ht="15">
      <c r="A629" s="36"/>
    </row>
    <row r="630" spans="1:1" ht="15">
      <c r="A630" s="36"/>
    </row>
    <row r="631" spans="1:1" ht="15">
      <c r="A631" s="36"/>
    </row>
    <row r="632" spans="1:1" ht="15">
      <c r="A632" s="36"/>
    </row>
    <row r="633" spans="1:1" ht="15">
      <c r="A633" s="36"/>
    </row>
    <row r="634" spans="1:1" ht="15">
      <c r="A634" s="36"/>
    </row>
    <row r="635" spans="1:1" ht="15">
      <c r="A635" s="36"/>
    </row>
    <row r="636" spans="1:1" ht="15">
      <c r="A636" s="36"/>
    </row>
    <row r="637" spans="1:1" ht="15">
      <c r="A637" s="36"/>
    </row>
    <row r="638" spans="1:1" ht="15">
      <c r="A638" s="36"/>
    </row>
    <row r="639" spans="1:1" ht="15">
      <c r="A639" s="36"/>
    </row>
    <row r="640" spans="1:1" ht="15">
      <c r="A640" s="36"/>
    </row>
    <row r="641" spans="1:1" ht="15">
      <c r="A641" s="36"/>
    </row>
    <row r="642" spans="1:1" ht="15">
      <c r="A642" s="36"/>
    </row>
    <row r="643" spans="1:1" ht="15">
      <c r="A643" s="36"/>
    </row>
    <row r="644" spans="1:1" ht="15">
      <c r="A644" s="36"/>
    </row>
    <row r="645" spans="1:1" ht="15">
      <c r="A645" s="36"/>
    </row>
    <row r="646" spans="1:1" ht="15">
      <c r="A646" s="36"/>
    </row>
    <row r="647" spans="1:1" ht="15">
      <c r="A647" s="36"/>
    </row>
    <row r="648" spans="1:1" ht="15">
      <c r="A648" s="36"/>
    </row>
    <row r="649" spans="1:1" ht="15">
      <c r="A649" s="36"/>
    </row>
    <row r="650" spans="1:1" ht="15">
      <c r="A650" s="36"/>
    </row>
    <row r="651" spans="1:1" ht="15">
      <c r="A651" s="36"/>
    </row>
    <row r="652" spans="1:1" ht="15">
      <c r="A652" s="36"/>
    </row>
    <row r="653" spans="1:1" ht="15">
      <c r="A653" s="36"/>
    </row>
    <row r="654" spans="1:1" ht="15">
      <c r="A654" s="36"/>
    </row>
    <row r="655" spans="1:1" ht="15">
      <c r="A655" s="36"/>
    </row>
    <row r="656" spans="1:1" ht="15">
      <c r="A656" s="36"/>
    </row>
    <row r="657" spans="1:1" ht="15">
      <c r="A657" s="36"/>
    </row>
    <row r="658" spans="1:1" ht="15">
      <c r="A658" s="36"/>
    </row>
    <row r="659" spans="1:1" ht="15">
      <c r="A659" s="36"/>
    </row>
    <row r="660" spans="1:1" ht="15">
      <c r="A660" s="36"/>
    </row>
    <row r="661" spans="1:1" ht="15">
      <c r="A661" s="36"/>
    </row>
    <row r="662" spans="1:1" ht="15">
      <c r="A662" s="36"/>
    </row>
    <row r="663" spans="1:1" ht="15">
      <c r="A663" s="36"/>
    </row>
    <row r="664" spans="1:1" ht="15">
      <c r="A664" s="36"/>
    </row>
    <row r="665" spans="1:1" ht="15">
      <c r="A665" s="36"/>
    </row>
    <row r="666" spans="1:1" ht="15">
      <c r="A666" s="36"/>
    </row>
    <row r="667" spans="1:1" ht="15">
      <c r="A667" s="36"/>
    </row>
    <row r="668" spans="1:1" ht="15">
      <c r="A668" s="36"/>
    </row>
    <row r="669" spans="1:1" ht="15">
      <c r="A669" s="36"/>
    </row>
    <row r="670" spans="1:1" ht="15">
      <c r="A670" s="36"/>
    </row>
    <row r="671" spans="1:1" ht="15">
      <c r="A671" s="36"/>
    </row>
    <row r="672" spans="1:1" ht="15">
      <c r="A672" s="36"/>
    </row>
    <row r="673" spans="1:1" ht="15">
      <c r="A673" s="36"/>
    </row>
    <row r="674" spans="1:1" ht="15">
      <c r="A674" s="36"/>
    </row>
    <row r="675" spans="1:1" ht="15">
      <c r="A675" s="36"/>
    </row>
    <row r="676" spans="1:1" ht="15">
      <c r="A676" s="36"/>
    </row>
    <row r="677" spans="1:1" ht="15">
      <c r="A677" s="36"/>
    </row>
    <row r="678" spans="1:1" ht="15">
      <c r="A678" s="36"/>
    </row>
    <row r="679" spans="1:1" ht="15">
      <c r="A679" s="36"/>
    </row>
    <row r="680" spans="1:1" ht="15">
      <c r="A680" s="36"/>
    </row>
    <row r="681" spans="1:1" ht="15">
      <c r="A681" s="36"/>
    </row>
    <row r="682" spans="1:1" ht="15">
      <c r="A682" s="36"/>
    </row>
    <row r="683" spans="1:1" ht="15">
      <c r="A683" s="36"/>
    </row>
    <row r="684" spans="1:1" ht="15">
      <c r="A684" s="36"/>
    </row>
    <row r="685" spans="1:1" ht="15">
      <c r="A685" s="36"/>
    </row>
    <row r="686" spans="1:1" ht="15">
      <c r="A686" s="36"/>
    </row>
    <row r="687" spans="1:1" ht="15">
      <c r="A687" s="36"/>
    </row>
    <row r="688" spans="1:1" ht="15">
      <c r="A688" s="36"/>
    </row>
    <row r="689" spans="1:1" ht="15">
      <c r="A689" s="36"/>
    </row>
    <row r="690" spans="1:1" ht="15">
      <c r="A690" s="36"/>
    </row>
    <row r="691" spans="1:1" ht="15">
      <c r="A691" s="36"/>
    </row>
    <row r="692" spans="1:1" ht="15">
      <c r="A692" s="36"/>
    </row>
    <row r="693" spans="1:1" ht="15">
      <c r="A693" s="36"/>
    </row>
    <row r="694" spans="1:1" ht="15">
      <c r="A694" s="36"/>
    </row>
    <row r="695" spans="1:1" ht="15">
      <c r="A695" s="36"/>
    </row>
    <row r="696" spans="1:1" ht="15">
      <c r="A696" s="36"/>
    </row>
    <row r="697" spans="1:1" ht="15">
      <c r="A697" s="36"/>
    </row>
    <row r="698" spans="1:1" ht="15">
      <c r="A698" s="36"/>
    </row>
    <row r="699" spans="1:1" ht="15">
      <c r="A699" s="36"/>
    </row>
    <row r="700" spans="1:1" ht="15">
      <c r="A700" s="36"/>
    </row>
    <row r="701" spans="1:1" ht="15">
      <c r="A701" s="36"/>
    </row>
    <row r="702" spans="1:1" ht="15">
      <c r="A702" s="36"/>
    </row>
    <row r="703" spans="1:1" ht="15">
      <c r="A703" s="36"/>
    </row>
    <row r="704" spans="1:1" ht="15">
      <c r="A704" s="36"/>
    </row>
    <row r="705" spans="1:1" ht="15">
      <c r="A705" s="36"/>
    </row>
    <row r="706" spans="1:1" ht="15">
      <c r="A706" s="36"/>
    </row>
    <row r="707" spans="1:1" ht="15">
      <c r="A707" s="36"/>
    </row>
    <row r="708" spans="1:1" ht="15">
      <c r="A708" s="36"/>
    </row>
    <row r="709" spans="1:1" ht="15">
      <c r="A709" s="36"/>
    </row>
    <row r="710" spans="1:1" ht="15">
      <c r="A710" s="36"/>
    </row>
    <row r="711" spans="1:1" ht="15">
      <c r="A711" s="36"/>
    </row>
    <row r="712" spans="1:1" ht="15">
      <c r="A712" s="36"/>
    </row>
    <row r="713" spans="1:1" ht="15">
      <c r="A713" s="36"/>
    </row>
    <row r="714" spans="1:1" ht="15">
      <c r="A714" s="36"/>
    </row>
    <row r="715" spans="1:1" ht="15">
      <c r="A715" s="36"/>
    </row>
    <row r="716" spans="1:1" ht="15">
      <c r="A716" s="36"/>
    </row>
    <row r="717" spans="1:1" ht="15">
      <c r="A717" s="36"/>
    </row>
    <row r="718" spans="1:1" ht="15">
      <c r="A718" s="36"/>
    </row>
    <row r="719" spans="1:1" ht="15">
      <c r="A719" s="36"/>
    </row>
    <row r="720" spans="1:1" ht="15">
      <c r="A720" s="36"/>
    </row>
    <row r="721" spans="1:1" ht="15">
      <c r="A721" s="36"/>
    </row>
    <row r="722" spans="1:1" ht="15">
      <c r="A722" s="36"/>
    </row>
    <row r="723" spans="1:1" ht="15">
      <c r="A723" s="36"/>
    </row>
    <row r="724" spans="1:1" ht="15">
      <c r="A724" s="36"/>
    </row>
    <row r="725" spans="1:1" ht="15">
      <c r="A725" s="36"/>
    </row>
    <row r="726" spans="1:1" ht="15">
      <c r="A726" s="36"/>
    </row>
    <row r="727" spans="1:1" ht="15">
      <c r="A727" s="36"/>
    </row>
    <row r="728" spans="1:1" ht="15">
      <c r="A728" s="36"/>
    </row>
    <row r="729" spans="1:1" ht="15">
      <c r="A729" s="36"/>
    </row>
    <row r="730" spans="1:1" ht="15">
      <c r="A730" s="36"/>
    </row>
    <row r="731" spans="1:1" ht="15">
      <c r="A731" s="36"/>
    </row>
    <row r="732" spans="1:1" ht="15">
      <c r="A732" s="36"/>
    </row>
    <row r="733" spans="1:1" ht="15">
      <c r="A733" s="36"/>
    </row>
    <row r="734" spans="1:1" ht="15">
      <c r="A734" s="36"/>
    </row>
    <row r="735" spans="1:1" ht="15">
      <c r="A735" s="36"/>
    </row>
    <row r="736" spans="1:1" ht="15">
      <c r="A736" s="36"/>
    </row>
    <row r="737" spans="1:1" ht="15">
      <c r="A737" s="36"/>
    </row>
    <row r="738" spans="1:1" ht="15">
      <c r="A738" s="36"/>
    </row>
    <row r="739" spans="1:1" ht="15">
      <c r="A739" s="36"/>
    </row>
    <row r="740" spans="1:1" ht="15">
      <c r="A740" s="36"/>
    </row>
    <row r="741" spans="1:1" ht="15">
      <c r="A741" s="36"/>
    </row>
    <row r="742" spans="1:1" ht="15">
      <c r="A742" s="36"/>
    </row>
    <row r="743" spans="1:1" ht="15">
      <c r="A743" s="36"/>
    </row>
    <row r="744" spans="1:1" ht="15">
      <c r="A744" s="36"/>
    </row>
    <row r="745" spans="1:1" ht="15">
      <c r="A745" s="36"/>
    </row>
    <row r="746" spans="1:1" ht="15">
      <c r="A746" s="36"/>
    </row>
    <row r="747" spans="1:1" ht="15">
      <c r="A747" s="36"/>
    </row>
    <row r="748" spans="1:1" ht="15">
      <c r="A748" s="36"/>
    </row>
    <row r="749" spans="1:1" ht="15">
      <c r="A749" s="36"/>
    </row>
    <row r="750" spans="1:1" ht="15">
      <c r="A750" s="36"/>
    </row>
    <row r="751" spans="1:1" ht="15">
      <c r="A751" s="36"/>
    </row>
    <row r="752" spans="1:1" ht="15">
      <c r="A752" s="36"/>
    </row>
    <row r="753" spans="1:1" ht="15">
      <c r="A753" s="36"/>
    </row>
    <row r="754" spans="1:1" ht="15">
      <c r="A754" s="36"/>
    </row>
    <row r="755" spans="1:1" ht="15">
      <c r="A755" s="36"/>
    </row>
    <row r="756" spans="1:1" ht="15">
      <c r="A756" s="36"/>
    </row>
    <row r="757" spans="1:1" ht="15">
      <c r="A757" s="36"/>
    </row>
    <row r="758" spans="1:1" ht="15">
      <c r="A758" s="36"/>
    </row>
    <row r="759" spans="1:1" ht="15">
      <c r="A759" s="36"/>
    </row>
    <row r="760" spans="1:1" ht="15">
      <c r="A760" s="36"/>
    </row>
    <row r="761" spans="1:1" ht="15">
      <c r="A761" s="36"/>
    </row>
    <row r="762" spans="1:1" ht="15">
      <c r="A762" s="36"/>
    </row>
    <row r="763" spans="1:1" ht="15">
      <c r="A763" s="36"/>
    </row>
    <row r="764" spans="1:1" ht="15">
      <c r="A764" s="36"/>
    </row>
    <row r="765" spans="1:1" ht="15">
      <c r="A765" s="36"/>
    </row>
    <row r="766" spans="1:1" ht="15">
      <c r="A766" s="36"/>
    </row>
    <row r="767" spans="1:1" ht="15">
      <c r="A767" s="36"/>
    </row>
    <row r="768" spans="1:1" ht="15">
      <c r="A768" s="36"/>
    </row>
    <row r="769" spans="1:1" ht="15">
      <c r="A769" s="36"/>
    </row>
    <row r="770" spans="1:1" ht="15">
      <c r="A770" s="36"/>
    </row>
    <row r="771" spans="1:1" ht="15">
      <c r="A771" s="36"/>
    </row>
    <row r="772" spans="1:1" ht="15">
      <c r="A772" s="36"/>
    </row>
    <row r="773" spans="1:1" ht="15">
      <c r="A773" s="36"/>
    </row>
    <row r="774" spans="1:1" ht="15">
      <c r="A774" s="36"/>
    </row>
    <row r="775" spans="1:1" ht="15">
      <c r="A775" s="36"/>
    </row>
    <row r="776" spans="1:1" ht="15">
      <c r="A776" s="36"/>
    </row>
    <row r="777" spans="1:1" ht="15">
      <c r="A777" s="36"/>
    </row>
    <row r="778" spans="1:1" ht="15">
      <c r="A778" s="36"/>
    </row>
    <row r="779" spans="1:1" ht="15">
      <c r="A779" s="36"/>
    </row>
    <row r="780" spans="1:1" ht="15">
      <c r="A780" s="36"/>
    </row>
    <row r="781" spans="1:1" ht="15">
      <c r="A781" s="36"/>
    </row>
    <row r="782" spans="1:1" ht="15">
      <c r="A782" s="36"/>
    </row>
    <row r="783" spans="1:1" ht="15">
      <c r="A783" s="36"/>
    </row>
    <row r="784" spans="1:1" ht="15">
      <c r="A784" s="36"/>
    </row>
    <row r="785" spans="1:1" ht="15">
      <c r="A785" s="36"/>
    </row>
    <row r="786" spans="1:1" ht="15">
      <c r="A786" s="36"/>
    </row>
    <row r="787" spans="1:1" ht="15">
      <c r="A787" s="36"/>
    </row>
    <row r="788" spans="1:1" ht="15">
      <c r="A788" s="36"/>
    </row>
    <row r="789" spans="1:1" ht="15">
      <c r="A789" s="36"/>
    </row>
    <row r="790" spans="1:1" ht="15">
      <c r="A790" s="36"/>
    </row>
    <row r="791" spans="1:1" ht="15">
      <c r="A791" s="36"/>
    </row>
    <row r="792" spans="1:1" ht="15">
      <c r="A792" s="36"/>
    </row>
    <row r="793" spans="1:1" ht="15">
      <c r="A793" s="36"/>
    </row>
    <row r="794" spans="1:1" ht="15">
      <c r="A794" s="36"/>
    </row>
    <row r="795" spans="1:1" ht="15">
      <c r="A795" s="36"/>
    </row>
    <row r="796" spans="1:1" ht="15">
      <c r="A796" s="36"/>
    </row>
    <row r="797" spans="1:1" ht="15">
      <c r="A797" s="36"/>
    </row>
    <row r="798" spans="1:1" ht="15">
      <c r="A798" s="36"/>
    </row>
    <row r="799" spans="1:1" ht="15">
      <c r="A799" s="36"/>
    </row>
    <row r="800" spans="1:1" ht="15">
      <c r="A800" s="36"/>
    </row>
    <row r="801" spans="1:1" ht="15">
      <c r="A801" s="36"/>
    </row>
    <row r="802" spans="1:1" ht="15">
      <c r="A802" s="36"/>
    </row>
    <row r="803" spans="1:1" ht="15">
      <c r="A803" s="36"/>
    </row>
    <row r="804" spans="1:1" ht="15">
      <c r="A804" s="36"/>
    </row>
    <row r="805" spans="1:1" ht="15">
      <c r="A805" s="36"/>
    </row>
    <row r="806" spans="1:1" ht="15">
      <c r="A806" s="36"/>
    </row>
    <row r="807" spans="1:1" ht="15">
      <c r="A807" s="36"/>
    </row>
    <row r="808" spans="1:1" ht="15">
      <c r="A808" s="36"/>
    </row>
    <row r="809" spans="1:1" ht="15">
      <c r="A809" s="36"/>
    </row>
    <row r="810" spans="1:1" ht="15">
      <c r="A810" s="36"/>
    </row>
    <row r="811" spans="1:1" ht="15">
      <c r="A811" s="36"/>
    </row>
    <row r="812" spans="1:1" ht="15">
      <c r="A812" s="36"/>
    </row>
    <row r="813" spans="1:1" ht="15">
      <c r="A813" s="36"/>
    </row>
    <row r="814" spans="1:1" ht="15">
      <c r="A814" s="36"/>
    </row>
    <row r="815" spans="1:1" ht="15">
      <c r="A815" s="36"/>
    </row>
    <row r="816" spans="1:1" ht="15">
      <c r="A816" s="36"/>
    </row>
    <row r="817" spans="1:1" ht="15">
      <c r="A817" s="36"/>
    </row>
    <row r="818" spans="1:1" ht="15">
      <c r="A818" s="36"/>
    </row>
    <row r="819" spans="1:1" ht="15">
      <c r="A819" s="36"/>
    </row>
    <row r="820" spans="1:1" ht="15">
      <c r="A820" s="36"/>
    </row>
    <row r="821" spans="1:1" ht="15">
      <c r="A821" s="36"/>
    </row>
    <row r="822" spans="1:1" ht="15">
      <c r="A822" s="36"/>
    </row>
    <row r="823" spans="1:1" ht="15">
      <c r="A823" s="36"/>
    </row>
    <row r="824" spans="1:1" ht="15">
      <c r="A824" s="36"/>
    </row>
    <row r="825" spans="1:1" ht="15">
      <c r="A825" s="36"/>
    </row>
    <row r="826" spans="1:1" ht="15">
      <c r="A826" s="36"/>
    </row>
    <row r="827" spans="1:1" ht="15">
      <c r="A827" s="36"/>
    </row>
    <row r="828" spans="1:1" ht="15">
      <c r="A828" s="36"/>
    </row>
    <row r="829" spans="1:1" ht="15">
      <c r="A829" s="36"/>
    </row>
    <row r="830" spans="1:1" ht="15">
      <c r="A830" s="36"/>
    </row>
    <row r="831" spans="1:1" ht="15">
      <c r="A831" s="36"/>
    </row>
    <row r="832" spans="1:1" ht="15">
      <c r="A832" s="36"/>
    </row>
    <row r="833" spans="1:1" ht="15">
      <c r="A833" s="36"/>
    </row>
    <row r="834" spans="1:1" ht="15">
      <c r="A834" s="36"/>
    </row>
    <row r="835" spans="1:1" ht="15">
      <c r="A835" s="36"/>
    </row>
  </sheetData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2"/>
  <sheetViews>
    <sheetView rightToLeft="1" topLeftCell="A85" workbookViewId="0">
      <selection activeCell="B121" sqref="B121"/>
    </sheetView>
  </sheetViews>
  <sheetFormatPr defaultRowHeight="14.25"/>
  <cols>
    <col min="1" max="1" width="14.375" customWidth="1"/>
    <col min="2" max="2" width="26" customWidth="1"/>
    <col min="3" max="3" width="9.875" bestFit="1" customWidth="1"/>
    <col min="4" max="4" width="12.125" customWidth="1"/>
    <col min="6" max="6" width="3.625" customWidth="1"/>
    <col min="8" max="8" width="13.75" customWidth="1"/>
  </cols>
  <sheetData>
    <row r="1" spans="1:26" ht="15">
      <c r="A1" s="8" t="s">
        <v>108</v>
      </c>
    </row>
    <row r="2" spans="1:26" ht="15">
      <c r="C2" s="8" t="s">
        <v>109</v>
      </c>
      <c r="G2" s="8" t="s">
        <v>110</v>
      </c>
      <c r="H2" s="12"/>
    </row>
    <row r="3" spans="1:26" ht="15">
      <c r="C3" s="8"/>
      <c r="G3" s="8"/>
      <c r="H3" s="12"/>
    </row>
    <row r="4" spans="1:26">
      <c r="A4" t="s">
        <v>111</v>
      </c>
      <c r="B4" t="s">
        <v>112</v>
      </c>
      <c r="C4" s="13">
        <f>80000*0.12*10</f>
        <v>96000</v>
      </c>
      <c r="D4" s="13"/>
      <c r="E4" s="13" t="s">
        <v>113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B6" t="s">
        <v>114</v>
      </c>
      <c r="C6" s="13">
        <f>C8-C4</f>
        <v>48000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thickBot="1">
      <c r="A8" t="s">
        <v>115</v>
      </c>
      <c r="B8" t="s">
        <v>116</v>
      </c>
      <c r="C8" s="14">
        <f>9600*15</f>
        <v>144000</v>
      </c>
      <c r="D8" s="13"/>
      <c r="E8" s="13" t="s">
        <v>117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>
      <c r="A10" t="s">
        <v>118</v>
      </c>
      <c r="B10" t="s">
        <v>119</v>
      </c>
      <c r="C10" s="13">
        <f>750000*0.978</f>
        <v>733500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C11" s="13"/>
      <c r="D11" s="13"/>
      <c r="E11" s="13" t="s">
        <v>120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B12" t="s">
        <v>121</v>
      </c>
      <c r="C12" s="13">
        <f>125000*0.45</f>
        <v>56250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C13" s="13"/>
      <c r="D13" s="13"/>
      <c r="E13" s="13" t="s">
        <v>122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B14" t="s">
        <v>123</v>
      </c>
      <c r="C14" s="13">
        <f>-33750*0.75/3.5*0.25</f>
        <v>-1808.0357142857142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C15" s="13"/>
      <c r="D15" s="13"/>
      <c r="E15" s="13" t="s">
        <v>124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B16" t="s">
        <v>125</v>
      </c>
      <c r="C16" s="13">
        <f>-11250*0.75</f>
        <v>-8437.5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C17" s="13"/>
      <c r="D17" s="13"/>
      <c r="E17" s="13" t="s">
        <v>126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B18" t="s">
        <v>127</v>
      </c>
      <c r="C18" s="13">
        <f>-20000*0.75*0.45</f>
        <v>-6750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thickBot="1">
      <c r="A20" t="s">
        <v>128</v>
      </c>
      <c r="B20" t="s">
        <v>129</v>
      </c>
      <c r="C20" s="14">
        <f>SUM(C8:C18)</f>
        <v>916754.46428571432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B22" t="s">
        <v>130</v>
      </c>
      <c r="C22" s="13"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C23" s="13"/>
      <c r="D23" s="13"/>
      <c r="E23" s="13" t="s">
        <v>131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B24" t="s">
        <v>132</v>
      </c>
      <c r="C24" s="13">
        <f>0.45*(175000-(25000+150000*0.08*6/12))</f>
        <v>64800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C25" s="13"/>
      <c r="D25" s="13"/>
      <c r="E25" t="s">
        <v>133</v>
      </c>
      <c r="F25" s="13"/>
      <c r="G25" s="13"/>
      <c r="H25" s="13"/>
      <c r="I25" s="13" t="s">
        <v>134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>
      <c r="A26" t="s">
        <v>135</v>
      </c>
      <c r="B26" s="15" t="s">
        <v>136</v>
      </c>
      <c r="C26" s="13">
        <f>50000*0.45</f>
        <v>22500</v>
      </c>
      <c r="D26" s="13"/>
      <c r="E26" s="13"/>
      <c r="F26" s="13"/>
      <c r="G26" s="13" t="s">
        <v>137</v>
      </c>
      <c r="H26" s="13">
        <f>200000*0.25</f>
        <v>50000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C27" s="13"/>
      <c r="D27" s="13"/>
      <c r="E27" s="13" t="s">
        <v>138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>
      <c r="B28" t="s">
        <v>123</v>
      </c>
      <c r="C28" s="13">
        <f>C14*4</f>
        <v>-7232.1428571428569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>
      <c r="B30" t="s">
        <v>139</v>
      </c>
      <c r="C30" s="13">
        <f>C248</f>
        <v>6750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>
      <c r="C31" s="13"/>
      <c r="D31" s="13"/>
      <c r="E31" s="13" t="s">
        <v>140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>
      <c r="B32" t="s">
        <v>127</v>
      </c>
      <c r="C32" s="13">
        <f>-15000*0.75*0.45</f>
        <v>-5062.5</v>
      </c>
      <c r="D32" s="13"/>
      <c r="E32" s="13"/>
      <c r="F32" s="13"/>
      <c r="G32" s="13" t="s">
        <v>141</v>
      </c>
      <c r="H32" s="13">
        <f>H36-H26</f>
        <v>25000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>
      <c r="A34" t="s">
        <v>142</v>
      </c>
      <c r="B34" t="s">
        <v>143</v>
      </c>
      <c r="C34" s="13">
        <f>-22000*0.45</f>
        <v>-9900</v>
      </c>
      <c r="D34" s="13"/>
      <c r="E34" s="13" t="s">
        <v>144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>
      <c r="C35" s="13"/>
      <c r="D35" s="13"/>
      <c r="E35" s="13"/>
      <c r="F35" s="13"/>
      <c r="G35" s="13"/>
      <c r="H35" s="13"/>
      <c r="I35" s="13" t="s">
        <v>145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" thickBot="1">
      <c r="A36" t="s">
        <v>146</v>
      </c>
      <c r="B36" t="s">
        <v>129</v>
      </c>
      <c r="C36" s="14">
        <f>SUM(C20:C34)</f>
        <v>988609.82142857148</v>
      </c>
      <c r="D36" s="13"/>
      <c r="E36" s="13"/>
      <c r="F36" s="13"/>
      <c r="G36" s="13" t="s">
        <v>129</v>
      </c>
      <c r="H36" s="14">
        <f>150000*0.25*2</f>
        <v>75000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C37" s="13"/>
      <c r="D37" s="13"/>
      <c r="E37" s="13" t="s">
        <v>147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B38" t="s">
        <v>148</v>
      </c>
      <c r="C38" s="13">
        <f>47000*0.45</f>
        <v>21150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B40" t="s">
        <v>123</v>
      </c>
      <c r="C40" s="13">
        <f>C14</f>
        <v>-1808.0357142857142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C41" s="13"/>
      <c r="D41" s="13"/>
      <c r="E41" s="13" t="s">
        <v>149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B42" t="s">
        <v>150</v>
      </c>
      <c r="C42" s="13">
        <f>6750*0.75</f>
        <v>5062.5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C43" s="13"/>
      <c r="D43" s="13"/>
      <c r="E43" s="13" t="s">
        <v>151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B44" t="s">
        <v>127</v>
      </c>
      <c r="C44" s="13">
        <f>35000*0.75*0.45</f>
        <v>11812.5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thickBot="1">
      <c r="A46" t="s">
        <v>152</v>
      </c>
      <c r="B46" t="s">
        <v>129</v>
      </c>
      <c r="C46" s="14">
        <f>SUM(C36:C44)</f>
        <v>1024826.7857142858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C47" s="13"/>
      <c r="D47" s="13"/>
      <c r="E47" s="13" t="s">
        <v>153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B48" t="s">
        <v>154</v>
      </c>
      <c r="C48" s="13">
        <f>-0.1/0.45*C46</f>
        <v>-227739.28571428574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>
      <c r="C49" s="13"/>
      <c r="D49" s="13"/>
      <c r="E49" s="13" t="s">
        <v>155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>
      <c r="B50" t="s">
        <v>156</v>
      </c>
      <c r="C50" s="13">
        <f>91000*0.35</f>
        <v>31849.999999999996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>
      <c r="C51" s="13"/>
      <c r="D51" s="13"/>
      <c r="E51" s="13" t="s">
        <v>157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>
      <c r="B52" t="s">
        <v>123</v>
      </c>
      <c r="C52" s="13">
        <f>C40*3*0.35/0.45</f>
        <v>-4218.75</v>
      </c>
      <c r="D52" s="13"/>
      <c r="E52" s="13"/>
      <c r="F52" s="13"/>
      <c r="G52" s="13" t="s">
        <v>141</v>
      </c>
      <c r="H52" s="13">
        <f>H56-H36</f>
        <v>37500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>
      <c r="B53" s="16"/>
      <c r="C53" s="17"/>
      <c r="D53" s="17"/>
      <c r="E53" s="13" t="s">
        <v>158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>
      <c r="A54" t="s">
        <v>159</v>
      </c>
      <c r="B54" t="s">
        <v>160</v>
      </c>
      <c r="C54" s="17">
        <f>-35000*0.35</f>
        <v>-12250</v>
      </c>
      <c r="D54" s="17"/>
      <c r="E54" s="17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C55" s="13"/>
      <c r="D55" s="13"/>
      <c r="E55" s="13"/>
      <c r="F55" s="13"/>
      <c r="G55" s="13"/>
      <c r="H55" s="13"/>
      <c r="I55" s="13" t="s">
        <v>161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" thickBot="1">
      <c r="A56" t="s">
        <v>159</v>
      </c>
      <c r="B56" t="s">
        <v>129</v>
      </c>
      <c r="C56" s="14">
        <f>SUM(C46:C54)</f>
        <v>812468.75</v>
      </c>
      <c r="D56" s="13"/>
      <c r="E56" s="13"/>
      <c r="F56" s="13"/>
      <c r="G56" s="13" t="s">
        <v>129</v>
      </c>
      <c r="H56" s="14">
        <f>150000*0.25*3</f>
        <v>112500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">
      <c r="A60" s="8" t="s">
        <v>162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>
      <c r="C61" s="13"/>
      <c r="D61" s="13" t="s">
        <v>163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>
      <c r="A62" t="s">
        <v>164</v>
      </c>
      <c r="B62" s="13">
        <f>0.45*1295000</f>
        <v>582750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>
      <c r="B63" s="13"/>
      <c r="C63" s="13"/>
      <c r="D63" s="13" t="s">
        <v>165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>
      <c r="A64" t="s">
        <v>166</v>
      </c>
      <c r="B64" s="13">
        <f>-180000*0.75*0.45</f>
        <v>-60750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" thickBot="1">
      <c r="B65" s="14">
        <f>SUM(B62:B64)</f>
        <v>522000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>
      <c r="A67" s="1" t="s">
        <v>167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>
      <c r="B68" s="13"/>
      <c r="C68" s="13" t="s">
        <v>168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>
      <c r="A69" t="s">
        <v>169</v>
      </c>
      <c r="B69" s="13">
        <f>D164*3.25/3.5</f>
        <v>31339.285714285714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>
      <c r="B70" s="13"/>
      <c r="C70" s="13" t="s">
        <v>170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>
      <c r="A71" t="s">
        <v>171</v>
      </c>
      <c r="B71" s="13">
        <f>-B69*0.25</f>
        <v>-7834.8214285714284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>
      <c r="A73" t="s">
        <v>172</v>
      </c>
      <c r="B73" s="13">
        <f>D168</f>
        <v>-15750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>
      <c r="A75" t="s">
        <v>171</v>
      </c>
      <c r="B75" s="13">
        <f>-B73*0.25</f>
        <v>3937.5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>
      <c r="A77" t="s">
        <v>173</v>
      </c>
      <c r="B77" s="13">
        <f>D172</f>
        <v>383062.5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" thickBot="1">
      <c r="B78" s="14">
        <f>SUM(B69:B77)</f>
        <v>394754.46428571426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" thickBot="1">
      <c r="A80" t="s">
        <v>52</v>
      </c>
      <c r="B80" s="14">
        <f>B78+B65</f>
        <v>916754.46428571432</v>
      </c>
      <c r="C80" s="13">
        <f>B80-C20</f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">
      <c r="A83" s="8" t="s">
        <v>174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>
      <c r="C84" s="13"/>
      <c r="D84" s="13" t="s">
        <v>175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>
      <c r="A85" t="s">
        <v>164</v>
      </c>
      <c r="B85" s="13">
        <f>0.45*(1620000-153000)</f>
        <v>660150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>
      <c r="B86" s="13"/>
      <c r="C86" s="13"/>
      <c r="D86" s="13" t="s">
        <v>176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>
      <c r="A87" t="s">
        <v>166</v>
      </c>
      <c r="B87" s="13">
        <f>-195000*0.75*0.45</f>
        <v>-65812.5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thickBot="1">
      <c r="B89" s="14">
        <f>SUM(B85:B87)</f>
        <v>594337.5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>
      <c r="A91" s="1" t="s">
        <v>167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>
      <c r="B92" s="13"/>
      <c r="C92" s="13" t="s">
        <v>177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>
      <c r="A93" t="s">
        <v>169</v>
      </c>
      <c r="B93" s="13">
        <f>D164*2.25/3.5</f>
        <v>21696.428571428572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>
      <c r="B94" s="13"/>
      <c r="C94" s="13" t="s">
        <v>178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>
      <c r="A95" t="s">
        <v>171</v>
      </c>
      <c r="B95" s="13">
        <f>-B93*0.25</f>
        <v>-5424.1071428571431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>
      <c r="B96" s="13"/>
      <c r="C96" s="13" t="s">
        <v>179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>
      <c r="A97" t="s">
        <v>172</v>
      </c>
      <c r="B97" s="13">
        <f>-15000*0.45</f>
        <v>-6750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>
      <c r="B98" s="13"/>
      <c r="C98" s="13" t="s">
        <v>180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>
      <c r="A99" t="s">
        <v>171</v>
      </c>
      <c r="B99" s="13">
        <f>-B97*0.25</f>
        <v>1687.5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t="s">
        <v>173</v>
      </c>
      <c r="B101" s="13">
        <f>B77</f>
        <v>383062.5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" thickBot="1">
      <c r="B102" s="14">
        <f>SUM(B93:B101)</f>
        <v>394272.32142857142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" thickBot="1">
      <c r="A104" t="s">
        <v>52</v>
      </c>
      <c r="B104" s="14">
        <f>B102+B89</f>
        <v>988609.82142857136</v>
      </c>
      <c r="C104" s="13">
        <f>B104-C36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">
      <c r="A107" s="8" t="s">
        <v>181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>
      <c r="C108" s="13"/>
      <c r="D108" s="13" t="s">
        <v>182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t="s">
        <v>164</v>
      </c>
      <c r="B109" s="13">
        <v>507500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" t="s">
        <v>167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>
      <c r="B112" s="13"/>
      <c r="C112" s="13" t="s">
        <v>183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t="s">
        <v>169</v>
      </c>
      <c r="B113" s="13">
        <f>D164*1.25/3.5*0.35/0.45</f>
        <v>9375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"/>
      <c r="B114" s="13"/>
      <c r="C114" s="13" t="s">
        <v>184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t="s">
        <v>171</v>
      </c>
      <c r="B115" s="13">
        <f>-B113*0.25</f>
        <v>-2343.75</v>
      </c>
      <c r="C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t="s">
        <v>172</v>
      </c>
      <c r="B117" s="13">
        <v>0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t="s">
        <v>171</v>
      </c>
      <c r="B119" s="13">
        <v>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>
      <c r="B120" s="13"/>
      <c r="C120" s="13" t="s">
        <v>185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t="s">
        <v>173</v>
      </c>
      <c r="B121" s="13">
        <f>B101*0.35/0.45</f>
        <v>297937.5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" thickBot="1">
      <c r="A124" t="s">
        <v>52</v>
      </c>
      <c r="B124" s="14">
        <f>SUM(B113:B123)</f>
        <v>304968.75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" thickBot="1">
      <c r="A126" t="s">
        <v>52</v>
      </c>
      <c r="B126" s="14">
        <f>B109+B124</f>
        <v>812468.75</v>
      </c>
      <c r="C126" s="13">
        <f>B126-C56</f>
        <v>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">
      <c r="A133" s="8" t="s">
        <v>186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" t="s">
        <v>187</v>
      </c>
      <c r="B135" s="19" t="s">
        <v>188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>
      <c r="B137" t="s">
        <v>189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B139" t="s">
        <v>190</v>
      </c>
      <c r="C139" s="13">
        <f>80000+120000</f>
        <v>200000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>
      <c r="B141" t="s">
        <v>191</v>
      </c>
      <c r="C141" s="13">
        <f>130000+820000</f>
        <v>950000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" thickBot="1">
      <c r="B143" t="s">
        <v>192</v>
      </c>
      <c r="C143" s="14">
        <f>C141-C139</f>
        <v>750000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>
      <c r="C144" s="13"/>
      <c r="D144" s="13" t="s">
        <v>193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">
      <c r="B145" s="12" t="s">
        <v>194</v>
      </c>
      <c r="C145" s="20">
        <f>750000/50000</f>
        <v>15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" t="s">
        <v>195</v>
      </c>
      <c r="B149" s="19" t="s">
        <v>196</v>
      </c>
      <c r="C149" s="13"/>
      <c r="D149" s="13"/>
      <c r="E149" s="13"/>
      <c r="F149" s="13"/>
      <c r="G149" s="19"/>
      <c r="H149" s="19"/>
      <c r="I149" s="19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>
      <c r="C150" s="13"/>
      <c r="D150" s="13"/>
      <c r="E150" s="13" t="s">
        <v>197</v>
      </c>
      <c r="F150" s="13"/>
      <c r="G150" s="13"/>
      <c r="H150" s="21" t="s">
        <v>198</v>
      </c>
      <c r="I150" s="22"/>
      <c r="J150" s="2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>
      <c r="B151" t="s">
        <v>199</v>
      </c>
      <c r="C151" s="13"/>
      <c r="D151" s="13">
        <f>750000*0.978+144000</f>
        <v>877500</v>
      </c>
      <c r="E151" s="13"/>
      <c r="F151" s="13"/>
      <c r="G151" s="13"/>
      <c r="H151" s="24"/>
      <c r="I151" s="13"/>
      <c r="J151" s="25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>
      <c r="C152" s="13"/>
      <c r="D152" s="13"/>
      <c r="E152" s="13" t="s">
        <v>200</v>
      </c>
      <c r="F152" s="13"/>
      <c r="G152" s="13"/>
      <c r="H152" s="24"/>
      <c r="I152" s="13"/>
      <c r="J152" s="26" t="s">
        <v>201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>
      <c r="B153" t="s">
        <v>202</v>
      </c>
      <c r="C153" s="13"/>
      <c r="D153" s="13">
        <f>-H154*(1170000-160000*0.75)</f>
        <v>-472500</v>
      </c>
      <c r="E153" s="13"/>
      <c r="F153" s="13"/>
      <c r="G153" s="13"/>
      <c r="H153" s="24"/>
      <c r="I153" s="13"/>
      <c r="J153" s="2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">
      <c r="C154" s="13"/>
      <c r="D154" s="13"/>
      <c r="E154" s="13"/>
      <c r="F154" s="13"/>
      <c r="G154" s="13"/>
      <c r="H154" s="27">
        <f>(9600+50000*0.978)/130000</f>
        <v>0.45</v>
      </c>
      <c r="I154" s="28"/>
      <c r="J154" s="29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" thickBot="1">
      <c r="B155" t="s">
        <v>203</v>
      </c>
      <c r="C155" s="13"/>
      <c r="D155" s="14">
        <f>D151+D153</f>
        <v>405000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>
      <c r="B158" s="1" t="s">
        <v>204</v>
      </c>
      <c r="C158" s="1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>
      <c r="F159" t="s">
        <v>205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>
      <c r="B160" t="s">
        <v>206</v>
      </c>
      <c r="C160" s="13"/>
      <c r="D160" s="13">
        <f>0.45*(90000-90000*6.5/9)</f>
        <v>11250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>
      <c r="C161" s="13"/>
      <c r="D161" s="13"/>
      <c r="E161" s="13"/>
      <c r="F161" s="13" t="s">
        <v>207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>
      <c r="B162" t="s">
        <v>171</v>
      </c>
      <c r="C162" s="13"/>
      <c r="D162" s="13">
        <f>-D160*0.25</f>
        <v>-2812.5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>
      <c r="C163" s="13"/>
      <c r="D163" s="13"/>
      <c r="E163" s="13"/>
      <c r="F163" s="13" t="s">
        <v>208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>
      <c r="B164" t="s">
        <v>169</v>
      </c>
      <c r="C164" s="13"/>
      <c r="D164" s="13">
        <f>0.45*75000</f>
        <v>33750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>
      <c r="C165" s="13"/>
      <c r="D165" s="13"/>
      <c r="E165" s="13"/>
      <c r="F165" s="13" t="s">
        <v>209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>
      <c r="B166" t="s">
        <v>171</v>
      </c>
      <c r="C166" s="13"/>
      <c r="D166" s="13">
        <f>-D164*0.25</f>
        <v>-8437.5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>
      <c r="C167" s="13"/>
      <c r="D167" s="13"/>
      <c r="E167" s="13"/>
      <c r="F167" s="13" t="s">
        <v>210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>
      <c r="B168" t="s">
        <v>172</v>
      </c>
      <c r="C168" s="13"/>
      <c r="D168" s="13">
        <f>-0.45*35000</f>
        <v>-15750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>
      <c r="C169" s="13"/>
      <c r="D169" s="13"/>
      <c r="E169" s="13"/>
      <c r="F169" s="13" t="s">
        <v>211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>
      <c r="B170" t="s">
        <v>171</v>
      </c>
      <c r="C170" s="13"/>
      <c r="D170" s="13">
        <f>-D168*0.25</f>
        <v>3937.5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>
      <c r="B172" t="s">
        <v>173</v>
      </c>
      <c r="C172" s="13"/>
      <c r="D172" s="13">
        <f>D173-D170-D168-D166-D164-D162-D160</f>
        <v>383062.5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" thickBot="1">
      <c r="C173" s="13"/>
      <c r="D173" s="14">
        <f>D155</f>
        <v>405000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" t="s">
        <v>212</v>
      </c>
      <c r="B175" s="19" t="s">
        <v>213</v>
      </c>
      <c r="C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>
      <c r="B177" t="s">
        <v>214</v>
      </c>
      <c r="C177" s="30">
        <v>220000</v>
      </c>
      <c r="D177" s="30"/>
      <c r="E177" s="3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>
      <c r="B178" s="13"/>
      <c r="C178" s="30"/>
      <c r="D178" s="30"/>
      <c r="E178" s="3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>
      <c r="B179" s="13" t="s">
        <v>215</v>
      </c>
      <c r="C179" s="30">
        <v>345000</v>
      </c>
      <c r="D179" s="3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>
      <c r="B180" s="13"/>
      <c r="C180" s="30"/>
      <c r="D180" s="3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" thickBot="1">
      <c r="B181" s="13" t="s">
        <v>216</v>
      </c>
      <c r="C181" s="14">
        <f>C179-C177</f>
        <v>125000</v>
      </c>
      <c r="D181" s="30"/>
      <c r="E181" s="3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" t="s">
        <v>217</v>
      </c>
      <c r="B185" s="19" t="s">
        <v>218</v>
      </c>
      <c r="C185" s="13"/>
      <c r="D185" s="13"/>
      <c r="E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"/>
      <c r="B186" s="19"/>
      <c r="C186" s="13"/>
      <c r="D186" s="13"/>
      <c r="E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"/>
      <c r="B187" s="19" t="s">
        <v>219</v>
      </c>
      <c r="C187" s="13"/>
      <c r="D187" s="13"/>
      <c r="E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>
      <c r="C188" s="13"/>
      <c r="D188" s="13" t="s">
        <v>220</v>
      </c>
      <c r="E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>
      <c r="B189" t="s">
        <v>221</v>
      </c>
      <c r="C189" s="13">
        <f>90000*6.5/9</f>
        <v>65000</v>
      </c>
      <c r="D189" s="13"/>
      <c r="E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>
      <c r="C190" s="13"/>
      <c r="D190" s="13" t="s">
        <v>222</v>
      </c>
      <c r="E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>
      <c r="B191" t="s">
        <v>223</v>
      </c>
      <c r="C191" s="13">
        <f>65000-4500</f>
        <v>60500</v>
      </c>
      <c r="D191" s="13"/>
      <c r="E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>
      <c r="C192" s="13"/>
      <c r="D192" s="13"/>
      <c r="E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>
      <c r="B193" t="s">
        <v>224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>
      <c r="B194" t="s">
        <v>225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" t="s">
        <v>226</v>
      </c>
      <c r="B197" s="19" t="s">
        <v>227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>
      <c r="B199" t="s">
        <v>228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>
      <c r="B201" t="s">
        <v>229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>
      <c r="C202" s="13"/>
      <c r="D202" s="13" t="s">
        <v>230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>
      <c r="B203" t="s">
        <v>231</v>
      </c>
      <c r="C203" s="13">
        <f>130000*0.2</f>
        <v>26000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>
      <c r="B204" t="s">
        <v>232</v>
      </c>
      <c r="C204" s="13">
        <f>C203</f>
        <v>26000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>
      <c r="B206" t="s">
        <v>233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>
      <c r="C207" s="13"/>
      <c r="D207" s="13"/>
      <c r="E207" s="13"/>
      <c r="F207" s="13"/>
      <c r="G207" s="13" t="s">
        <v>234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">
      <c r="B208" s="12" t="s">
        <v>235</v>
      </c>
      <c r="C208" s="13"/>
      <c r="D208" s="13"/>
      <c r="E208" s="20">
        <f>130000*0.45*1.2</f>
        <v>70200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" t="s">
        <v>236</v>
      </c>
      <c r="B211" s="19" t="s">
        <v>237</v>
      </c>
      <c r="C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"/>
      <c r="B212" s="19"/>
      <c r="C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"/>
      <c r="B213" t="s">
        <v>238</v>
      </c>
      <c r="C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"/>
      <c r="B214" s="19"/>
      <c r="C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"/>
      <c r="B215" s="19" t="s">
        <v>239</v>
      </c>
      <c r="C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>
      <c r="B217" t="s">
        <v>215</v>
      </c>
      <c r="C217" s="30">
        <v>345000</v>
      </c>
      <c r="D217" s="30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>
      <c r="B218" s="13"/>
      <c r="C218" s="30"/>
      <c r="D218" s="30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>
      <c r="B219" s="13" t="s">
        <v>227</v>
      </c>
      <c r="C219" s="30">
        <f>-C203</f>
        <v>-26000</v>
      </c>
      <c r="D219" s="30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>
      <c r="B220" s="13"/>
      <c r="C220" s="30"/>
      <c r="D220" s="30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>
      <c r="B221" s="13" t="s">
        <v>240</v>
      </c>
      <c r="C221" s="30">
        <f>C223-C219-C217</f>
        <v>175000</v>
      </c>
      <c r="D221" s="30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" thickBot="1">
      <c r="B223" t="s">
        <v>241</v>
      </c>
      <c r="C223" s="14">
        <v>494000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>
      <c r="B226" s="19" t="s">
        <v>242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>
      <c r="B228" t="s">
        <v>241</v>
      </c>
      <c r="C228" s="30">
        <f>C223</f>
        <v>494000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>
      <c r="B229" s="13"/>
      <c r="C229" s="30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>
      <c r="B230" s="13" t="s">
        <v>243</v>
      </c>
      <c r="C230" s="30">
        <v>-25000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>
      <c r="B231" s="13"/>
      <c r="C231" s="30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>
      <c r="B232" s="13" t="s">
        <v>244</v>
      </c>
      <c r="C232" s="30">
        <f>C234-C230-C228</f>
        <v>-25000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" thickBot="1">
      <c r="B234" t="s">
        <v>245</v>
      </c>
      <c r="C234" s="14">
        <v>444000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" t="s">
        <v>246</v>
      </c>
      <c r="B238" s="19" t="s">
        <v>247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>
      <c r="B240" t="s">
        <v>248</v>
      </c>
      <c r="C240" s="13">
        <v>20000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>
      <c r="B242" t="s">
        <v>249</v>
      </c>
      <c r="C242" s="13">
        <v>35000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>
      <c r="C243" s="13"/>
      <c r="D243" s="13" t="s">
        <v>140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>
      <c r="B244" t="s">
        <v>250</v>
      </c>
      <c r="C244" s="13">
        <f>(C240-C242)*0.75*0.45</f>
        <v>-5062.5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>
      <c r="C245" s="13"/>
      <c r="D245" s="13"/>
      <c r="E245" s="13" t="s">
        <v>251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>
      <c r="B246" t="s">
        <v>252</v>
      </c>
      <c r="C246" s="30">
        <f>B73+B75</f>
        <v>-11812.5</v>
      </c>
    </row>
    <row r="248" spans="1:26" ht="15" thickBot="1">
      <c r="B248" t="s">
        <v>253</v>
      </c>
      <c r="C248" s="14">
        <f>C244-C246</f>
        <v>6750</v>
      </c>
    </row>
    <row r="251" spans="1:26">
      <c r="A251" s="18" t="s">
        <v>254</v>
      </c>
      <c r="B251" s="19" t="s">
        <v>255</v>
      </c>
      <c r="C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6">
      <c r="A252" s="18"/>
      <c r="B252" s="19"/>
      <c r="C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6">
      <c r="A253" s="18"/>
      <c r="B253" t="s">
        <v>256</v>
      </c>
      <c r="C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6">
      <c r="B254" s="13" t="s">
        <v>257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6">
      <c r="B255" t="s">
        <v>258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7" spans="1:20">
      <c r="B257" t="s">
        <v>259</v>
      </c>
      <c r="C257" s="13">
        <v>25000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>
      <c r="C258" s="13"/>
      <c r="D258" s="13" t="s">
        <v>260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>
      <c r="B259" t="s">
        <v>261</v>
      </c>
      <c r="C259" s="13">
        <f>150000*0.08*0.25</f>
        <v>3000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5" thickBot="1">
      <c r="B261" t="s">
        <v>262</v>
      </c>
      <c r="C261" s="14">
        <f>C257-C259</f>
        <v>22000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>
      <c r="A264" s="18" t="s">
        <v>263</v>
      </c>
      <c r="B264" s="19" t="s">
        <v>264</v>
      </c>
      <c r="C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>
      <c r="A265" s="18"/>
      <c r="B265" s="19"/>
      <c r="C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>
      <c r="A266" s="18"/>
      <c r="B266" s="19" t="s">
        <v>265</v>
      </c>
      <c r="C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>
      <c r="B268" t="s">
        <v>245</v>
      </c>
      <c r="C268" s="30">
        <v>444000</v>
      </c>
      <c r="D268" s="3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>
      <c r="B269" s="13"/>
      <c r="C269" s="30"/>
      <c r="D269" s="3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>
      <c r="B270" s="13" t="s">
        <v>240</v>
      </c>
      <c r="C270" s="30">
        <f>C272-C268</f>
        <v>50000</v>
      </c>
      <c r="D270" s="3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5" thickBot="1">
      <c r="B272" t="s">
        <v>266</v>
      </c>
      <c r="C272" s="14">
        <v>494000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>
      <c r="A275" s="18" t="s">
        <v>267</v>
      </c>
      <c r="B275" s="19" t="s">
        <v>268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s="31" customFormat="1">
      <c r="B277" s="31" t="s">
        <v>269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s="31" customForma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s="31" customFormat="1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s="31" customFormat="1">
      <c r="A280" s="18" t="s">
        <v>270</v>
      </c>
      <c r="B280" s="19" t="s">
        <v>271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s="31" customFormat="1">
      <c r="C281" s="13"/>
      <c r="D281" s="13" t="s">
        <v>272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 s="31" customFormat="1" ht="15">
      <c r="B282" s="31" t="s">
        <v>273</v>
      </c>
      <c r="C282" s="32">
        <f>(70200-15600)/156000</f>
        <v>0.35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1:20" s="31" customForma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:20" s="31" customFormat="1">
      <c r="B284" s="31" t="s">
        <v>274</v>
      </c>
      <c r="C284" s="13">
        <v>250000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:20" s="31" customFormat="1">
      <c r="B285" s="33" t="s">
        <v>275</v>
      </c>
      <c r="C285" s="13">
        <f>-C48</f>
        <v>227739.28571428574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:20" s="31" customFormat="1">
      <c r="B286" s="33" t="s">
        <v>276</v>
      </c>
      <c r="C286" s="13">
        <f>C284-C285</f>
        <v>22260.714285714261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1:20" s="31" customFormat="1"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1:20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:20">
      <c r="A289" s="18" t="s">
        <v>277</v>
      </c>
      <c r="B289" s="19" t="s">
        <v>278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1:2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:20">
      <c r="A291" s="13"/>
      <c r="B291" s="19" t="s">
        <v>279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1:20">
      <c r="A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1:20">
      <c r="A293" s="13"/>
      <c r="B293" t="s">
        <v>266</v>
      </c>
      <c r="C293" s="30">
        <f>C272</f>
        <v>494000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:20">
      <c r="A294" s="13"/>
      <c r="B294" s="13"/>
      <c r="C294" s="30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:20">
      <c r="A295" s="13"/>
      <c r="B295" s="13" t="s">
        <v>280</v>
      </c>
      <c r="C295" s="30">
        <v>-50000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:20">
      <c r="A296" s="13"/>
      <c r="B296" s="13"/>
      <c r="C296" s="30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:20">
      <c r="A297" s="13"/>
      <c r="B297" s="13" t="s">
        <v>281</v>
      </c>
      <c r="C297" s="30">
        <f>C299-C295-C293</f>
        <v>100000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:20">
      <c r="A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:20" ht="15" thickBot="1">
      <c r="A299" s="13"/>
      <c r="B299" t="s">
        <v>245</v>
      </c>
      <c r="C299" s="14">
        <v>544000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1:2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1:20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1:20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1:20">
      <c r="A303" s="18" t="s">
        <v>282</v>
      </c>
      <c r="B303" s="19" t="s">
        <v>283</v>
      </c>
      <c r="C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1:20">
      <c r="A304" s="18"/>
      <c r="B304" s="19"/>
      <c r="C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1:20">
      <c r="A305" s="18"/>
      <c r="B305" t="s">
        <v>256</v>
      </c>
      <c r="C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:20">
      <c r="B306" s="13" t="s">
        <v>257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1:20">
      <c r="B307" t="s">
        <v>258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1:20"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:20">
      <c r="B309" t="s">
        <v>259</v>
      </c>
      <c r="C309" s="13">
        <v>50000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:20">
      <c r="C310" s="13"/>
      <c r="D310" s="13" t="s">
        <v>284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:20">
      <c r="B311" t="s">
        <v>261</v>
      </c>
      <c r="C311" s="13">
        <f>150000*0.08*1.25</f>
        <v>15000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:20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:20" ht="15" thickBot="1">
      <c r="B313" t="s">
        <v>262</v>
      </c>
      <c r="C313" s="14">
        <f>C309-C311</f>
        <v>35000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:20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:20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:20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:20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:20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:20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: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:20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:20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:20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:20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:20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:20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20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20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20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2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20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20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</sheetData>
  <phoneticPr fontId="16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rightToLeft="1" tabSelected="1" topLeftCell="A20" workbookViewId="0">
      <selection activeCell="M97" sqref="M97"/>
    </sheetView>
  </sheetViews>
  <sheetFormatPr defaultRowHeight="12.75"/>
  <cols>
    <col min="1" max="1" width="9" style="60"/>
    <col min="2" max="2" width="14.5" style="61" customWidth="1"/>
    <col min="3" max="3" width="19.125" style="63" customWidth="1"/>
    <col min="4" max="4" width="15.875" style="63" bestFit="1" customWidth="1"/>
    <col min="5" max="5" width="16.75" style="63" bestFit="1" customWidth="1"/>
    <col min="6" max="10" width="9" style="63"/>
    <col min="11" max="11" width="14.25" style="63" customWidth="1"/>
    <col min="12" max="12" width="10.125" style="63" customWidth="1"/>
    <col min="13" max="16384" width="9" style="63"/>
  </cols>
  <sheetData>
    <row r="1" spans="2:12">
      <c r="B1" s="61" t="s">
        <v>488</v>
      </c>
      <c r="C1" s="62" t="s">
        <v>489</v>
      </c>
      <c r="D1" s="62" t="s">
        <v>490</v>
      </c>
      <c r="E1" s="62" t="s">
        <v>491</v>
      </c>
    </row>
    <row r="2" spans="2:12">
      <c r="C2" s="64">
        <f>2500/10000</f>
        <v>0.25</v>
      </c>
      <c r="D2" s="64">
        <f>2500/11000</f>
        <v>0.22727272727272727</v>
      </c>
      <c r="E2" s="64">
        <f>2500/9000</f>
        <v>0.27777777777777779</v>
      </c>
    </row>
    <row r="4" spans="2:12">
      <c r="B4" s="61" t="s">
        <v>492</v>
      </c>
    </row>
    <row r="5" spans="2:12">
      <c r="B5" s="61" t="s">
        <v>493</v>
      </c>
      <c r="C5" s="65" t="s">
        <v>108</v>
      </c>
    </row>
    <row r="6" spans="2:12">
      <c r="B6" s="61">
        <v>1</v>
      </c>
      <c r="C6" s="66" t="s">
        <v>494</v>
      </c>
      <c r="D6" s="67">
        <f>L15</f>
        <v>302884.61538461538</v>
      </c>
      <c r="E6" s="67"/>
      <c r="F6" s="67"/>
      <c r="G6" s="67"/>
      <c r="H6" s="67"/>
      <c r="J6" s="63">
        <v>1</v>
      </c>
      <c r="K6" s="65" t="s">
        <v>495</v>
      </c>
    </row>
    <row r="7" spans="2:12">
      <c r="C7" s="66" t="s">
        <v>496</v>
      </c>
      <c r="D7" s="67">
        <f>450000*5/12*0.25</f>
        <v>46875</v>
      </c>
      <c r="E7" s="67"/>
      <c r="F7" s="67"/>
      <c r="G7" s="68"/>
      <c r="H7" s="67"/>
      <c r="K7" s="63" t="s">
        <v>199</v>
      </c>
      <c r="L7" s="63">
        <f>L15</f>
        <v>302884.61538461538</v>
      </c>
    </row>
    <row r="8" spans="2:12">
      <c r="C8" s="69" t="s">
        <v>497</v>
      </c>
      <c r="D8" s="67"/>
      <c r="E8" s="67"/>
      <c r="F8" s="67"/>
      <c r="G8" s="67"/>
      <c r="H8" s="67"/>
      <c r="K8" s="66" t="s">
        <v>498</v>
      </c>
      <c r="L8" s="70">
        <f>L20*C2</f>
        <v>120454.54545454546</v>
      </c>
    </row>
    <row r="9" spans="2:12">
      <c r="C9" s="66" t="s">
        <v>41</v>
      </c>
      <c r="D9" s="67">
        <f>-L24*1/23*5/12*0.7</f>
        <v>-2777.173913043478</v>
      </c>
      <c r="E9" s="67"/>
      <c r="F9" s="67"/>
      <c r="G9" s="68"/>
      <c r="H9" s="67"/>
      <c r="L9" s="63">
        <f>L7-L8</f>
        <v>182430.06993006991</v>
      </c>
    </row>
    <row r="10" spans="2:12">
      <c r="C10" s="66" t="s">
        <v>499</v>
      </c>
      <c r="D10" s="67">
        <f>0.25*10000*0.7</f>
        <v>1750</v>
      </c>
      <c r="E10" s="67"/>
      <c r="F10" s="67"/>
      <c r="G10" s="67"/>
      <c r="H10" s="67"/>
    </row>
    <row r="11" spans="2:12">
      <c r="B11" s="61">
        <v>2</v>
      </c>
      <c r="C11" s="69" t="s">
        <v>500</v>
      </c>
      <c r="D11" s="67"/>
      <c r="E11" s="67"/>
      <c r="F11" s="67"/>
      <c r="G11" s="67"/>
      <c r="H11" s="67"/>
    </row>
    <row r="12" spans="2:12">
      <c r="C12" s="66" t="s">
        <v>501</v>
      </c>
      <c r="D12" s="67">
        <f>-L39*0.25*0.7</f>
        <v>-414.29924242424232</v>
      </c>
      <c r="E12" s="67"/>
      <c r="F12" s="67"/>
      <c r="G12" s="67"/>
      <c r="H12" s="67"/>
      <c r="K12" s="65" t="s">
        <v>502</v>
      </c>
    </row>
    <row r="13" spans="2:12">
      <c r="C13" s="66" t="s">
        <v>394</v>
      </c>
      <c r="D13" s="67">
        <f>0.25*L41*0.7</f>
        <v>3755.2083333333348</v>
      </c>
      <c r="E13" s="67"/>
      <c r="F13" s="67"/>
      <c r="G13" s="67"/>
      <c r="H13" s="67"/>
      <c r="K13" s="64">
        <v>0.13</v>
      </c>
      <c r="L13" s="63">
        <f>120000+30000/0.8</f>
        <v>157500</v>
      </c>
    </row>
    <row r="14" spans="2:12">
      <c r="C14" s="66" t="s">
        <v>305</v>
      </c>
      <c r="D14" s="70">
        <f>(490000-500000)*0.8*0.25</f>
        <v>-2000</v>
      </c>
      <c r="E14" s="71" t="s">
        <v>503</v>
      </c>
      <c r="F14" s="67"/>
      <c r="G14" s="68"/>
      <c r="H14" s="67"/>
      <c r="K14" s="64">
        <v>0.12</v>
      </c>
      <c r="L14" s="70">
        <f>L13/0.13*0.12</f>
        <v>145384.61538461538</v>
      </c>
    </row>
    <row r="15" spans="2:12">
      <c r="B15" s="61">
        <v>3</v>
      </c>
      <c r="C15" s="72" t="s">
        <v>504</v>
      </c>
      <c r="D15" s="67">
        <f>SUM(D6:D14)</f>
        <v>350073.35056248098</v>
      </c>
      <c r="E15" s="67"/>
      <c r="F15" s="67"/>
      <c r="G15" s="67"/>
      <c r="H15" s="67"/>
      <c r="L15" s="63">
        <f>L13+L14</f>
        <v>302884.61538461538</v>
      </c>
    </row>
    <row r="16" spans="2:12">
      <c r="B16" s="61">
        <v>4</v>
      </c>
      <c r="C16" s="66" t="s">
        <v>505</v>
      </c>
      <c r="D16" s="71">
        <f>L59</f>
        <v>0</v>
      </c>
      <c r="E16" s="67"/>
      <c r="F16" s="67"/>
      <c r="G16" s="67"/>
      <c r="H16" s="67"/>
    </row>
    <row r="17" spans="2:12">
      <c r="B17" s="61">
        <v>5</v>
      </c>
      <c r="C17" s="66" t="s">
        <v>324</v>
      </c>
      <c r="D17" s="67">
        <f>M67</f>
        <v>10000</v>
      </c>
      <c r="E17" s="67"/>
      <c r="F17" s="67"/>
      <c r="G17" s="68"/>
      <c r="H17" s="67"/>
      <c r="K17" s="65" t="s">
        <v>506</v>
      </c>
    </row>
    <row r="18" spans="2:12">
      <c r="C18" s="66" t="s">
        <v>507</v>
      </c>
      <c r="D18" s="67">
        <f>D2*450000*6/12</f>
        <v>51136.363636363625</v>
      </c>
      <c r="E18" s="67"/>
      <c r="F18" s="67"/>
      <c r="G18" s="67"/>
      <c r="H18" s="67"/>
      <c r="K18" s="66" t="s">
        <v>371</v>
      </c>
      <c r="L18" s="63">
        <v>450000</v>
      </c>
    </row>
    <row r="19" spans="2:12">
      <c r="C19" s="69" t="s">
        <v>497</v>
      </c>
      <c r="D19" s="67"/>
      <c r="E19" s="67"/>
      <c r="F19" s="67"/>
      <c r="G19" s="68"/>
      <c r="H19" s="67"/>
      <c r="K19" s="66" t="s">
        <v>508</v>
      </c>
      <c r="L19" s="70">
        <f>(220000-240000*8/11)*0.7</f>
        <v>31818.181818181805</v>
      </c>
    </row>
    <row r="20" spans="2:12">
      <c r="C20" s="66" t="s">
        <v>41</v>
      </c>
      <c r="D20" s="67">
        <f>-M76*6/271*0.7</f>
        <v>-3029.6442687747031</v>
      </c>
      <c r="E20" s="67"/>
      <c r="F20" s="67"/>
      <c r="G20" s="67"/>
      <c r="H20" s="67"/>
      <c r="L20" s="63">
        <f>L18+L19</f>
        <v>481818.18181818182</v>
      </c>
    </row>
    <row r="21" spans="2:12">
      <c r="C21" s="66" t="s">
        <v>499</v>
      </c>
      <c r="D21" s="67">
        <f>-M74*0.7</f>
        <v>318.18181818181813</v>
      </c>
      <c r="E21" s="67"/>
      <c r="F21" s="67"/>
      <c r="G21" s="67"/>
      <c r="H21" s="67"/>
    </row>
    <row r="22" spans="2:12">
      <c r="C22" s="66" t="s">
        <v>171</v>
      </c>
      <c r="D22" s="67">
        <f>-M73</f>
        <v>-28390.972663699911</v>
      </c>
      <c r="E22" s="67"/>
      <c r="F22" s="67"/>
      <c r="G22" s="67"/>
      <c r="H22" s="67"/>
      <c r="K22" s="65" t="s">
        <v>204</v>
      </c>
    </row>
    <row r="23" spans="2:12">
      <c r="B23" s="61">
        <v>6</v>
      </c>
      <c r="C23" s="69" t="s">
        <v>500</v>
      </c>
      <c r="D23" s="67"/>
      <c r="E23" s="67"/>
      <c r="F23" s="67"/>
      <c r="G23" s="67"/>
      <c r="H23" s="67"/>
      <c r="K23" s="66" t="s">
        <v>509</v>
      </c>
      <c r="L23" s="63">
        <f>0.25*450000*0.2</f>
        <v>22500</v>
      </c>
    </row>
    <row r="24" spans="2:12">
      <c r="C24" s="66" t="s">
        <v>501</v>
      </c>
      <c r="D24" s="67">
        <f>-L88*D2*0.7</f>
        <v>-677.05022250476782</v>
      </c>
      <c r="E24" s="67"/>
      <c r="F24" s="67"/>
      <c r="G24" s="67"/>
      <c r="H24" s="67"/>
      <c r="K24" s="66" t="s">
        <v>510</v>
      </c>
      <c r="L24" s="63">
        <f>0.25*(2900000-2200000*23/25)</f>
        <v>219000</v>
      </c>
    </row>
    <row r="25" spans="2:12">
      <c r="C25" s="66" t="s">
        <v>394</v>
      </c>
      <c r="D25" s="67">
        <f>D2*L90*0.7</f>
        <v>1617.1328671328649</v>
      </c>
      <c r="E25" s="67"/>
      <c r="F25" s="67"/>
      <c r="G25" s="67"/>
      <c r="H25" s="67"/>
      <c r="K25" s="66" t="s">
        <v>171</v>
      </c>
      <c r="L25" s="63">
        <f>-0.3*L24</f>
        <v>-65700</v>
      </c>
    </row>
    <row r="26" spans="2:12">
      <c r="B26" s="61">
        <v>7</v>
      </c>
      <c r="C26" s="66" t="s">
        <v>305</v>
      </c>
      <c r="D26" s="70">
        <f>-M96</f>
        <v>-25454.545454545452</v>
      </c>
      <c r="E26" s="67" t="s">
        <v>503</v>
      </c>
      <c r="F26" s="67"/>
      <c r="G26" s="68"/>
      <c r="H26" s="67"/>
      <c r="K26" s="66" t="s">
        <v>499</v>
      </c>
      <c r="L26" s="63">
        <f>-0.25*12000</f>
        <v>-3000</v>
      </c>
    </row>
    <row r="27" spans="2:12">
      <c r="B27" s="61">
        <v>8</v>
      </c>
      <c r="C27" s="72" t="s">
        <v>511</v>
      </c>
      <c r="D27" s="67">
        <f>SUM(D15:D26)</f>
        <v>355592.81627463445</v>
      </c>
      <c r="E27" s="67"/>
      <c r="F27" s="67"/>
      <c r="G27" s="67"/>
      <c r="H27" s="67"/>
      <c r="K27" s="66" t="s">
        <v>171</v>
      </c>
      <c r="L27" s="63">
        <f>-L26*0.3</f>
        <v>900</v>
      </c>
    </row>
    <row r="28" spans="2:12">
      <c r="B28" s="61">
        <v>9</v>
      </c>
      <c r="C28" s="66" t="s">
        <v>309</v>
      </c>
      <c r="D28" s="71">
        <v>0</v>
      </c>
      <c r="E28" s="71"/>
      <c r="F28" s="67"/>
      <c r="G28" s="67"/>
      <c r="H28" s="67"/>
      <c r="K28" s="66" t="s">
        <v>173</v>
      </c>
      <c r="L28" s="70">
        <f>L29-L27-L26-L25-L24-L23</f>
        <v>8730.0699300699052</v>
      </c>
    </row>
    <row r="29" spans="2:12">
      <c r="C29" s="72" t="s">
        <v>511</v>
      </c>
      <c r="D29" s="67">
        <f>D27+D28</f>
        <v>355592.81627463445</v>
      </c>
      <c r="E29" s="67"/>
      <c r="F29" s="67"/>
      <c r="G29" s="67"/>
      <c r="H29" s="67"/>
      <c r="L29" s="63">
        <f>L9</f>
        <v>182430.06993006991</v>
      </c>
    </row>
    <row r="30" spans="2:12">
      <c r="C30" s="66" t="s">
        <v>512</v>
      </c>
      <c r="D30" s="67">
        <f>E2*450000*6/12</f>
        <v>62500</v>
      </c>
      <c r="E30" s="67"/>
      <c r="F30" s="67"/>
      <c r="G30" s="68"/>
      <c r="H30" s="67"/>
    </row>
    <row r="31" spans="2:12">
      <c r="C31" s="69" t="s">
        <v>497</v>
      </c>
      <c r="D31" s="67"/>
      <c r="E31" s="67"/>
      <c r="F31" s="67"/>
      <c r="G31" s="67"/>
      <c r="H31" s="67"/>
      <c r="J31" s="63">
        <v>2</v>
      </c>
      <c r="K31" s="65" t="s">
        <v>513</v>
      </c>
    </row>
    <row r="32" spans="2:12">
      <c r="C32" s="66" t="s">
        <v>41</v>
      </c>
      <c r="D32" s="67">
        <f>-(M105+M119)*6/265*0.7</f>
        <v>-3155.0492621042249</v>
      </c>
      <c r="E32" s="67"/>
      <c r="F32" s="67"/>
      <c r="G32" s="67"/>
      <c r="H32" s="67"/>
      <c r="K32" s="62" t="s">
        <v>514</v>
      </c>
      <c r="L32" s="63">
        <f>L19</f>
        <v>31818.181818181805</v>
      </c>
    </row>
    <row r="33" spans="2:14">
      <c r="C33" s="69" t="s">
        <v>500</v>
      </c>
      <c r="D33" s="67"/>
      <c r="E33" s="67"/>
      <c r="F33" s="67"/>
      <c r="G33" s="67"/>
      <c r="H33" s="73"/>
      <c r="L33" s="70">
        <f>L34-L32</f>
        <v>13363.636363636386</v>
      </c>
    </row>
    <row r="34" spans="2:14">
      <c r="C34" s="66" t="s">
        <v>501</v>
      </c>
      <c r="D34" s="67">
        <f>-L132*0.7*E2</f>
        <v>-967.0231729055256</v>
      </c>
      <c r="E34" s="67"/>
      <c r="F34" s="67"/>
      <c r="G34" s="67"/>
      <c r="H34" s="67"/>
      <c r="K34" s="62" t="s">
        <v>504</v>
      </c>
      <c r="L34" s="63">
        <f>(230000-240000*91/132)*0.7</f>
        <v>45181.818181818191</v>
      </c>
    </row>
    <row r="35" spans="2:14">
      <c r="C35" s="66" t="s">
        <v>394</v>
      </c>
      <c r="D35" s="67">
        <f>E2*0.7*L134</f>
        <v>6977.1241830065374</v>
      </c>
      <c r="E35" s="67"/>
      <c r="F35" s="67"/>
      <c r="G35" s="67"/>
      <c r="H35" s="67"/>
    </row>
    <row r="36" spans="2:14">
      <c r="C36" s="66" t="s">
        <v>515</v>
      </c>
      <c r="D36" s="70">
        <f>-E2*200000</f>
        <v>-55555.555555555555</v>
      </c>
      <c r="E36" s="67"/>
      <c r="F36" s="67"/>
      <c r="G36" s="67"/>
      <c r="H36" s="67"/>
      <c r="J36" s="74" t="s">
        <v>516</v>
      </c>
      <c r="K36" s="69" t="s">
        <v>501</v>
      </c>
    </row>
    <row r="37" spans="2:14">
      <c r="C37" s="72" t="s">
        <v>517</v>
      </c>
      <c r="D37" s="67">
        <f>SUM(D29:D36)</f>
        <v>365392.31246707565</v>
      </c>
      <c r="E37" s="67"/>
      <c r="F37" s="67"/>
      <c r="G37" s="67"/>
      <c r="H37" s="67"/>
      <c r="K37" s="66" t="s">
        <v>518</v>
      </c>
      <c r="L37" s="63">
        <f>240000/11*5/12</f>
        <v>9090.9090909090919</v>
      </c>
    </row>
    <row r="38" spans="2:14">
      <c r="C38" s="66"/>
      <c r="D38" s="67"/>
      <c r="E38" s="67"/>
      <c r="F38" s="67"/>
      <c r="G38" s="67"/>
      <c r="H38" s="67"/>
      <c r="K38" s="66" t="s">
        <v>519</v>
      </c>
      <c r="L38" s="70">
        <f>220000/8*5/12</f>
        <v>11458.333333333334</v>
      </c>
    </row>
    <row r="39" spans="2:14">
      <c r="C39" s="66"/>
      <c r="D39" s="67"/>
      <c r="E39" s="67"/>
      <c r="F39" s="67"/>
      <c r="G39" s="67"/>
      <c r="H39" s="67"/>
      <c r="L39" s="63">
        <f>L38-L37</f>
        <v>2367.424242424242</v>
      </c>
    </row>
    <row r="40" spans="2:14">
      <c r="B40" s="75" t="s">
        <v>520</v>
      </c>
      <c r="C40" s="66"/>
      <c r="D40" s="67">
        <v>2010</v>
      </c>
      <c r="E40" s="67">
        <v>2011</v>
      </c>
      <c r="F40" s="67"/>
      <c r="G40" s="67"/>
      <c r="H40" s="67"/>
      <c r="J40" s="74" t="s">
        <v>521</v>
      </c>
      <c r="K40" s="69" t="s">
        <v>394</v>
      </c>
    </row>
    <row r="41" spans="2:14">
      <c r="C41" s="66" t="s">
        <v>522</v>
      </c>
      <c r="D41" s="71">
        <f>D7+D9+D10+D12+D14</f>
        <v>43433.52684453228</v>
      </c>
      <c r="E41" s="67">
        <f>D18+D20+D21+D22+D24+D26+D30+D32+D34</f>
        <v>52280.260410010858</v>
      </c>
      <c r="F41" s="67"/>
      <c r="G41" s="67"/>
      <c r="H41" s="67"/>
      <c r="K41" s="66" t="s">
        <v>523</v>
      </c>
      <c r="L41" s="63">
        <f>(230000-(220000-L38))</f>
        <v>21458.333333333343</v>
      </c>
    </row>
    <row r="42" spans="2:14">
      <c r="C42" s="63" t="s">
        <v>524</v>
      </c>
      <c r="D42" s="67">
        <v>30000</v>
      </c>
      <c r="E42" s="63">
        <v>10000</v>
      </c>
      <c r="F42" s="63" t="s">
        <v>525</v>
      </c>
    </row>
    <row r="43" spans="2:14">
      <c r="C43" s="63" t="s">
        <v>526</v>
      </c>
      <c r="D43" s="63">
        <f>D13</f>
        <v>3755.2083333333348</v>
      </c>
      <c r="E43" s="63">
        <f>D25+D35</f>
        <v>8594.2570501394021</v>
      </c>
    </row>
    <row r="44" spans="2:14">
      <c r="C44" s="63" t="s">
        <v>527</v>
      </c>
      <c r="D44" s="63">
        <v>0</v>
      </c>
      <c r="E44" s="63">
        <v>0</v>
      </c>
      <c r="J44" s="63">
        <v>3</v>
      </c>
      <c r="K44" s="76" t="s">
        <v>528</v>
      </c>
    </row>
    <row r="45" spans="2:14">
      <c r="K45" s="66" t="s">
        <v>529</v>
      </c>
      <c r="L45" s="63">
        <f>0.25*(450000+450000*5/12-10000*0.8)</f>
        <v>157375</v>
      </c>
      <c r="N45" s="63">
        <f>L45/0.25</f>
        <v>629500</v>
      </c>
    </row>
    <row r="46" spans="2:14">
      <c r="C46" s="69"/>
      <c r="K46" s="66" t="s">
        <v>513</v>
      </c>
      <c r="L46" s="63">
        <f>0.25*L34</f>
        <v>11295.454545454548</v>
      </c>
    </row>
    <row r="47" spans="2:14">
      <c r="C47" s="66"/>
      <c r="K47" s="69" t="s">
        <v>167</v>
      </c>
    </row>
    <row r="48" spans="2:14">
      <c r="C48" s="66"/>
      <c r="K48" s="66" t="s">
        <v>509</v>
      </c>
      <c r="L48" s="63">
        <f>L23</f>
        <v>22500</v>
      </c>
    </row>
    <row r="49" spans="3:16">
      <c r="G49" s="62"/>
      <c r="K49" s="66" t="s">
        <v>510</v>
      </c>
      <c r="L49" s="63">
        <f>L24*271/276</f>
        <v>215032.60869565216</v>
      </c>
    </row>
    <row r="50" spans="3:16">
      <c r="C50" s="66"/>
      <c r="J50" s="62"/>
      <c r="K50" s="66" t="s">
        <v>171</v>
      </c>
      <c r="L50" s="63">
        <f>-L49*0.3</f>
        <v>-64509.782608695648</v>
      </c>
    </row>
    <row r="51" spans="3:16">
      <c r="C51" s="66"/>
      <c r="J51" s="62"/>
      <c r="K51" s="66" t="s">
        <v>499</v>
      </c>
      <c r="L51" s="63">
        <f>-2000*0.25</f>
        <v>-500</v>
      </c>
    </row>
    <row r="52" spans="3:16">
      <c r="G52" s="62"/>
      <c r="K52" s="66" t="s">
        <v>171</v>
      </c>
      <c r="L52" s="63">
        <f>-L51*0.3</f>
        <v>150</v>
      </c>
    </row>
    <row r="53" spans="3:16">
      <c r="C53" s="66"/>
      <c r="K53" s="66" t="s">
        <v>173</v>
      </c>
      <c r="L53" s="70">
        <f>L28</f>
        <v>8730.0699300699052</v>
      </c>
    </row>
    <row r="54" spans="3:16">
      <c r="C54" s="66"/>
      <c r="K54" s="66" t="s">
        <v>52</v>
      </c>
      <c r="L54" s="63">
        <f>SUM(L45:L53)</f>
        <v>350073.35056248092</v>
      </c>
    </row>
    <row r="56" spans="3:16">
      <c r="J56" s="63">
        <v>4</v>
      </c>
      <c r="K56" s="77" t="s">
        <v>505</v>
      </c>
    </row>
    <row r="57" spans="3:16">
      <c r="K57" s="66" t="s">
        <v>171</v>
      </c>
      <c r="L57" s="63">
        <f>L28</f>
        <v>8730.0699300699052</v>
      </c>
      <c r="M57" s="66" t="s">
        <v>530</v>
      </c>
      <c r="P57" s="63">
        <f>450000*(0.3-0.2)*0.25</f>
        <v>11249.999999999998</v>
      </c>
    </row>
    <row r="58" spans="3:16">
      <c r="K58" s="66" t="s">
        <v>173</v>
      </c>
      <c r="L58" s="70">
        <f>-L57</f>
        <v>-8730.0699300699052</v>
      </c>
    </row>
    <row r="59" spans="3:16">
      <c r="L59" s="63">
        <f>L57+L58</f>
        <v>0</v>
      </c>
    </row>
    <row r="61" spans="3:16">
      <c r="J61" s="63">
        <v>5</v>
      </c>
      <c r="K61" s="65" t="s">
        <v>531</v>
      </c>
    </row>
    <row r="62" spans="3:16">
      <c r="K62" s="66" t="s">
        <v>532</v>
      </c>
      <c r="M62" s="64">
        <f>C2</f>
        <v>0.25</v>
      </c>
    </row>
    <row r="63" spans="3:16">
      <c r="K63" s="66" t="s">
        <v>533</v>
      </c>
      <c r="M63" s="64">
        <f>D2</f>
        <v>0.22727272727272727</v>
      </c>
    </row>
    <row r="65" spans="10:17">
      <c r="K65" s="66" t="s">
        <v>534</v>
      </c>
      <c r="M65" s="63">
        <f>D15</f>
        <v>350073.35056248098</v>
      </c>
    </row>
    <row r="66" spans="10:17">
      <c r="K66" s="66" t="s">
        <v>535</v>
      </c>
      <c r="M66" s="70">
        <f>M65+M67</f>
        <v>360073.35056248098</v>
      </c>
    </row>
    <row r="67" spans="10:17">
      <c r="K67" s="66" t="s">
        <v>536</v>
      </c>
      <c r="M67" s="63">
        <v>10000</v>
      </c>
      <c r="N67" s="66" t="s">
        <v>371</v>
      </c>
    </row>
    <row r="69" spans="10:17">
      <c r="K69" s="65" t="s">
        <v>537</v>
      </c>
      <c r="M69" s="64"/>
    </row>
    <row r="70" spans="10:17">
      <c r="K70" s="66" t="s">
        <v>529</v>
      </c>
      <c r="M70" s="63">
        <f>M78-SUM(M71:M77)</f>
        <v>184893.03186931647</v>
      </c>
      <c r="O70" s="69" t="s">
        <v>538</v>
      </c>
    </row>
    <row r="71" spans="10:17">
      <c r="K71" s="66" t="s">
        <v>500</v>
      </c>
      <c r="M71" s="63">
        <f>M63*L34</f>
        <v>10268.595041322316</v>
      </c>
      <c r="O71" s="66" t="s">
        <v>539</v>
      </c>
      <c r="Q71" s="63">
        <f>M70/M63</f>
        <v>813529.34022499248</v>
      </c>
    </row>
    <row r="72" spans="10:17">
      <c r="K72" s="69" t="s">
        <v>167</v>
      </c>
      <c r="O72" s="66" t="s">
        <v>540</v>
      </c>
      <c r="Q72" s="70">
        <f>N45</f>
        <v>629500</v>
      </c>
    </row>
    <row r="73" spans="10:17">
      <c r="K73" s="66" t="s">
        <v>171</v>
      </c>
      <c r="M73" s="63">
        <f>M63/M62*(L48+L57)</f>
        <v>28390.972663699911</v>
      </c>
      <c r="Q73" s="63">
        <f>Q71-Q72</f>
        <v>184029.34022499248</v>
      </c>
    </row>
    <row r="74" spans="10:17">
      <c r="K74" s="66" t="s">
        <v>499</v>
      </c>
      <c r="M74" s="63">
        <f>L51*M63/M62</f>
        <v>-454.5454545454545</v>
      </c>
    </row>
    <row r="75" spans="10:17">
      <c r="K75" s="66" t="s">
        <v>171</v>
      </c>
      <c r="M75" s="63">
        <f>L52*M63/M62</f>
        <v>136.36363636363635</v>
      </c>
    </row>
    <row r="76" spans="10:17">
      <c r="K76" s="66" t="s">
        <v>41</v>
      </c>
      <c r="M76" s="63">
        <f>M63/M62*L49</f>
        <v>195484.18972332013</v>
      </c>
    </row>
    <row r="77" spans="10:17">
      <c r="K77" s="66" t="s">
        <v>171</v>
      </c>
      <c r="M77" s="70">
        <f>-M76*0.3</f>
        <v>-58645.256916996041</v>
      </c>
    </row>
    <row r="78" spans="10:17">
      <c r="M78" s="63">
        <f>M66</f>
        <v>360073.35056248098</v>
      </c>
    </row>
    <row r="80" spans="10:17">
      <c r="J80" s="63">
        <v>6</v>
      </c>
      <c r="K80" s="65" t="s">
        <v>513</v>
      </c>
    </row>
    <row r="81" spans="10:13">
      <c r="K81" s="62" t="s">
        <v>504</v>
      </c>
      <c r="L81" s="63">
        <f>L34</f>
        <v>45181.818181818191</v>
      </c>
    </row>
    <row r="82" spans="10:13">
      <c r="L82" s="70">
        <f>L83-L81</f>
        <v>4136.3636363636178</v>
      </c>
    </row>
    <row r="83" spans="10:13">
      <c r="K83" s="62" t="s">
        <v>511</v>
      </c>
      <c r="L83" s="63">
        <f>(225000-240000*85/132)*0.7</f>
        <v>49318.181818181809</v>
      </c>
    </row>
    <row r="85" spans="10:13">
      <c r="J85" s="74" t="s">
        <v>516</v>
      </c>
      <c r="K85" s="69" t="s">
        <v>501</v>
      </c>
    </row>
    <row r="86" spans="10:13">
      <c r="K86" s="66" t="s">
        <v>518</v>
      </c>
      <c r="L86" s="63">
        <f>240000/11*6/12</f>
        <v>10909.09090909091</v>
      </c>
    </row>
    <row r="87" spans="10:13">
      <c r="K87" s="66" t="s">
        <v>519</v>
      </c>
      <c r="L87" s="63">
        <f>230000*6/91</f>
        <v>15164.835164835165</v>
      </c>
    </row>
    <row r="88" spans="10:13">
      <c r="L88" s="63">
        <f>L87-L86</f>
        <v>4255.7442557442555</v>
      </c>
    </row>
    <row r="89" spans="10:13">
      <c r="J89" s="74" t="s">
        <v>521</v>
      </c>
      <c r="K89" s="69" t="s">
        <v>394</v>
      </c>
    </row>
    <row r="90" spans="10:13">
      <c r="K90" s="66" t="s">
        <v>523</v>
      </c>
      <c r="L90" s="63">
        <f>(225000-(230000-L87))</f>
        <v>10164.835164835153</v>
      </c>
    </row>
    <row r="93" spans="10:13">
      <c r="J93" s="63">
        <v>7</v>
      </c>
      <c r="K93" s="65" t="s">
        <v>541</v>
      </c>
    </row>
    <row r="94" spans="10:13">
      <c r="K94" s="66" t="s">
        <v>542</v>
      </c>
      <c r="L94" s="66"/>
    </row>
    <row r="95" spans="10:13">
      <c r="K95" s="66" t="s">
        <v>543</v>
      </c>
      <c r="M95" s="63">
        <f>120000-10000*0.8</f>
        <v>112000</v>
      </c>
    </row>
    <row r="96" spans="10:13">
      <c r="K96" s="66" t="s">
        <v>544</v>
      </c>
      <c r="M96" s="63">
        <f>M95*D2</f>
        <v>25454.545454545452</v>
      </c>
    </row>
    <row r="98" spans="10:15">
      <c r="J98" s="63">
        <v>8</v>
      </c>
      <c r="K98" s="65" t="s">
        <v>545</v>
      </c>
      <c r="M98" s="64"/>
    </row>
    <row r="99" spans="10:15">
      <c r="K99" s="66" t="s">
        <v>529</v>
      </c>
      <c r="M99" s="63">
        <f>D2*(Q71+450000*6/12-M95)</f>
        <v>210574.85005113465</v>
      </c>
      <c r="O99" s="63">
        <f>M99/M63</f>
        <v>926529.34022499248</v>
      </c>
    </row>
    <row r="100" spans="10:15">
      <c r="K100" s="66" t="s">
        <v>500</v>
      </c>
      <c r="M100" s="63">
        <f>M63*L83</f>
        <v>11208.677685950412</v>
      </c>
      <c r="O100" s="70">
        <f>M100/M63</f>
        <v>49318.181818181816</v>
      </c>
    </row>
    <row r="101" spans="10:15">
      <c r="K101" s="69" t="s">
        <v>167</v>
      </c>
      <c r="O101" s="63">
        <f>O99+O100</f>
        <v>975847.52204317425</v>
      </c>
    </row>
    <row r="102" spans="10:15">
      <c r="K102" s="66" t="s">
        <v>171</v>
      </c>
      <c r="M102" s="63">
        <v>0</v>
      </c>
    </row>
    <row r="103" spans="10:15">
      <c r="K103" s="66" t="s">
        <v>499</v>
      </c>
      <c r="M103" s="63">
        <v>0</v>
      </c>
    </row>
    <row r="104" spans="10:15">
      <c r="K104" s="66" t="s">
        <v>171</v>
      </c>
      <c r="M104" s="63">
        <v>0</v>
      </c>
    </row>
    <row r="105" spans="10:15">
      <c r="K105" s="66" t="s">
        <v>41</v>
      </c>
      <c r="M105" s="63">
        <f>M76*265/271</f>
        <v>191156.12648221341</v>
      </c>
    </row>
    <row r="106" spans="10:15">
      <c r="K106" s="66" t="s">
        <v>171</v>
      </c>
      <c r="M106" s="70">
        <f>-M105*0.3</f>
        <v>-57346.837944664025</v>
      </c>
    </row>
    <row r="107" spans="10:15">
      <c r="M107" s="63">
        <f>SUM(M99:M106)</f>
        <v>355592.8162746345</v>
      </c>
    </row>
    <row r="109" spans="10:15">
      <c r="J109" s="63">
        <v>9</v>
      </c>
      <c r="K109" s="65" t="s">
        <v>546</v>
      </c>
    </row>
    <row r="110" spans="10:15">
      <c r="K110" s="66" t="s">
        <v>547</v>
      </c>
      <c r="L110" s="64">
        <f>D2</f>
        <v>0.22727272727272727</v>
      </c>
    </row>
    <row r="111" spans="10:15">
      <c r="K111" s="66" t="s">
        <v>548</v>
      </c>
      <c r="L111" s="64">
        <f>E2</f>
        <v>0.27777777777777779</v>
      </c>
    </row>
    <row r="112" spans="10:15">
      <c r="K112" s="69" t="s">
        <v>549</v>
      </c>
    </row>
    <row r="113" spans="10:16">
      <c r="K113" s="66" t="s">
        <v>199</v>
      </c>
      <c r="M113" s="63">
        <v>0</v>
      </c>
    </row>
    <row r="114" spans="10:16">
      <c r="K114" s="66" t="s">
        <v>550</v>
      </c>
      <c r="L114" s="63">
        <f>O101*L110</f>
        <v>221783.52773708504</v>
      </c>
      <c r="O114" s="63">
        <f>O99-250000</f>
        <v>676529.34022499248</v>
      </c>
    </row>
    <row r="115" spans="10:16">
      <c r="K115" s="66" t="s">
        <v>551</v>
      </c>
      <c r="L115" s="63">
        <f>(O101-250000)*L111</f>
        <v>201624.31167865952</v>
      </c>
      <c r="O115" s="63">
        <f>L115/L111</f>
        <v>725847.52204317425</v>
      </c>
      <c r="P115" s="63">
        <f>O101-250000</f>
        <v>725847.52204317425</v>
      </c>
    </row>
    <row r="116" spans="10:16">
      <c r="M116" s="70">
        <f>L115-L114</f>
        <v>-20159.216058425518</v>
      </c>
    </row>
    <row r="117" spans="10:16">
      <c r="M117" s="63">
        <f>M113-M116</f>
        <v>20159.216058425518</v>
      </c>
    </row>
    <row r="118" spans="10:16">
      <c r="K118" s="69" t="s">
        <v>552</v>
      </c>
    </row>
    <row r="119" spans="10:16">
      <c r="K119" s="66" t="s">
        <v>510</v>
      </c>
      <c r="M119" s="63">
        <f>(L111-L110)*(2100000-2200000*265/300)</f>
        <v>7912.4579124579195</v>
      </c>
      <c r="O119" s="63">
        <f>12*25</f>
        <v>300</v>
      </c>
    </row>
    <row r="120" spans="10:16">
      <c r="K120" s="66" t="s">
        <v>171</v>
      </c>
      <c r="M120" s="63">
        <f>-M119*0.3</f>
        <v>-2373.7373737373759</v>
      </c>
      <c r="O120" s="63">
        <f>O119-12-12-11</f>
        <v>265</v>
      </c>
    </row>
    <row r="121" spans="10:16">
      <c r="K121" s="66" t="s">
        <v>173</v>
      </c>
      <c r="M121" s="70">
        <f>M117-M119-M120</f>
        <v>14620.495519704975</v>
      </c>
    </row>
    <row r="122" spans="10:16">
      <c r="M122" s="63">
        <f>M117</f>
        <v>20159.216058425518</v>
      </c>
    </row>
    <row r="124" spans="10:16">
      <c r="J124" s="63">
        <v>10</v>
      </c>
      <c r="K124" s="65" t="s">
        <v>513</v>
      </c>
    </row>
    <row r="125" spans="10:16">
      <c r="K125" s="62" t="s">
        <v>511</v>
      </c>
      <c r="L125" s="63">
        <f>L83</f>
        <v>49318.181818181809</v>
      </c>
    </row>
    <row r="126" spans="10:16">
      <c r="L126" s="70">
        <f>L127-L125</f>
        <v>-49318.181818181809</v>
      </c>
    </row>
    <row r="127" spans="10:16">
      <c r="K127" s="62" t="s">
        <v>517</v>
      </c>
      <c r="L127" s="63">
        <f>0</f>
        <v>0</v>
      </c>
    </row>
    <row r="129" spans="10:16">
      <c r="J129" s="74" t="s">
        <v>516</v>
      </c>
      <c r="K129" s="69" t="s">
        <v>501</v>
      </c>
    </row>
    <row r="130" spans="10:16">
      <c r="K130" s="66" t="s">
        <v>518</v>
      </c>
      <c r="L130" s="63">
        <f>240000/11*6/12</f>
        <v>10909.09090909091</v>
      </c>
    </row>
    <row r="131" spans="10:16">
      <c r="K131" s="66" t="s">
        <v>519</v>
      </c>
      <c r="L131" s="70">
        <f>225000*6/85</f>
        <v>15882.35294117647</v>
      </c>
    </row>
    <row r="132" spans="10:16">
      <c r="L132" s="63">
        <f>L131-L130</f>
        <v>4973.2620320855603</v>
      </c>
    </row>
    <row r="133" spans="10:16">
      <c r="J133" s="74" t="s">
        <v>521</v>
      </c>
      <c r="K133" s="69" t="s">
        <v>394</v>
      </c>
    </row>
    <row r="134" spans="10:16">
      <c r="K134" s="66" t="s">
        <v>523</v>
      </c>
      <c r="L134" s="63">
        <f>(245000-(225000-L131))</f>
        <v>35882.352941176476</v>
      </c>
    </row>
    <row r="135" spans="10:16">
      <c r="K135" s="66" t="s">
        <v>553</v>
      </c>
      <c r="L135" s="63">
        <f>(245000-240000*79/132)</f>
        <v>101363.63636363635</v>
      </c>
    </row>
    <row r="137" spans="10:16">
      <c r="J137" s="63">
        <v>11</v>
      </c>
      <c r="K137" s="65" t="s">
        <v>554</v>
      </c>
      <c r="M137" s="64">
        <f>E2</f>
        <v>0.27777777777777779</v>
      </c>
    </row>
    <row r="138" spans="10:16">
      <c r="K138" s="66" t="s">
        <v>529</v>
      </c>
      <c r="M138" s="63">
        <f>M137*(O114+450000*6/12+L135*0.7-200000)</f>
        <v>214578.85713320499</v>
      </c>
    </row>
    <row r="139" spans="10:16">
      <c r="K139" s="66" t="s">
        <v>500</v>
      </c>
      <c r="M139" s="63">
        <v>0</v>
      </c>
    </row>
    <row r="140" spans="10:16">
      <c r="K140" s="69" t="s">
        <v>167</v>
      </c>
    </row>
    <row r="141" spans="10:16">
      <c r="K141" s="66" t="s">
        <v>173</v>
      </c>
      <c r="M141" s="63">
        <f>M121</f>
        <v>14620.495519704975</v>
      </c>
    </row>
    <row r="142" spans="10:16">
      <c r="K142" s="66" t="s">
        <v>41</v>
      </c>
      <c r="M142" s="63">
        <f>(M119+M105)*259/265</f>
        <v>194561.37116309386</v>
      </c>
    </row>
    <row r="143" spans="10:16">
      <c r="K143" s="66" t="s">
        <v>171</v>
      </c>
      <c r="M143" s="70">
        <f>-M142*0.3</f>
        <v>-58368.411348928159</v>
      </c>
    </row>
    <row r="144" spans="10:16">
      <c r="M144" s="63">
        <f>SUM(M138:M143)</f>
        <v>365392.31246707565</v>
      </c>
      <c r="O144" s="63">
        <f>M144-D37</f>
        <v>0</v>
      </c>
      <c r="P144" s="63">
        <f>O144/M137</f>
        <v>0</v>
      </c>
    </row>
  </sheetData>
  <phoneticPr fontId="16" type="noConversion"/>
  <pageMargins left="0.35" right="0.18" top="0.56999999999999995" bottom="1" header="0.5" footer="0.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פתרון 1</vt:lpstr>
      <vt:lpstr>פתרון 2</vt:lpstr>
      <vt:lpstr>פתרון 3</vt:lpstr>
      <vt:lpstr>פתרון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bengal</dc:creator>
  <cp:lastModifiedBy>MAAYAN</cp:lastModifiedBy>
  <dcterms:created xsi:type="dcterms:W3CDTF">2012-01-16T14:35:38Z</dcterms:created>
  <dcterms:modified xsi:type="dcterms:W3CDTF">2013-12-30T21:42:56Z</dcterms:modified>
</cp:coreProperties>
</file>