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2390" windowHeight="9315"/>
  </bookViews>
  <sheets>
    <sheet name="פתרון 1" sheetId="4" r:id="rId1"/>
    <sheet name="פתרון 2" sheetId="5" r:id="rId2"/>
    <sheet name="פתרון 3" sheetId="6" r:id="rId3"/>
    <sheet name="פתרון 4" sheetId="7" r:id="rId4"/>
  </sheets>
  <definedNames>
    <definedName name="_xlnm.Print_Area" localSheetId="0">'פתרון 1'!$A$1:$G$166</definedName>
  </definedNames>
  <calcPr calcId="125725"/>
</workbook>
</file>

<file path=xl/calcChain.xml><?xml version="1.0" encoding="utf-8"?>
<calcChain xmlns="http://schemas.openxmlformats.org/spreadsheetml/2006/main">
  <c r="E151" i="7"/>
  <c r="E152" s="1"/>
  <c r="E153" s="1"/>
  <c r="E108"/>
  <c r="E107"/>
  <c r="E106"/>
  <c r="B104"/>
  <c r="B131" l="1"/>
  <c r="B125"/>
  <c r="B144" s="1"/>
  <c r="B120"/>
  <c r="B112"/>
  <c r="B113" s="1"/>
  <c r="B25" s="1"/>
  <c r="B149"/>
  <c r="B84"/>
  <c r="B80"/>
  <c r="B79"/>
  <c r="B81" s="1"/>
  <c r="B86" s="1"/>
  <c r="B85" s="1"/>
  <c r="B71"/>
  <c r="B150" s="1"/>
  <c r="B66"/>
  <c r="B58"/>
  <c r="B91" s="1"/>
  <c r="B92" s="1"/>
  <c r="B52"/>
  <c r="B53" s="1"/>
  <c r="B94" s="1"/>
  <c r="B23" s="1"/>
  <c r="B45"/>
  <c r="B41"/>
  <c r="B42" s="1"/>
  <c r="B47" s="1"/>
  <c r="B46" s="1"/>
  <c r="B32"/>
  <c r="B20"/>
  <c r="B18"/>
  <c r="B17"/>
  <c r="B6"/>
  <c r="B5"/>
  <c r="B95" l="1"/>
  <c r="B100" s="1"/>
  <c r="B151"/>
  <c r="B152" s="1"/>
  <c r="B153" s="1"/>
  <c r="B145" s="1"/>
  <c r="B146" s="1"/>
  <c r="B33" s="1"/>
  <c r="B73"/>
  <c r="B74" s="1"/>
  <c r="B75" s="1"/>
  <c r="B11" s="1"/>
  <c r="B7"/>
  <c r="B8" s="1"/>
  <c r="B19"/>
  <c r="B21" s="1"/>
  <c r="B59"/>
  <c r="B99"/>
  <c r="B101" s="1"/>
  <c r="B22" s="1"/>
  <c r="B106"/>
  <c r="B107" s="1"/>
  <c r="B108" s="1"/>
  <c r="B24" s="1"/>
  <c r="B61"/>
  <c r="B62" l="1"/>
  <c r="B67" s="1"/>
  <c r="B68" s="1"/>
  <c r="B9" s="1"/>
  <c r="C138" s="1"/>
  <c r="B26"/>
  <c r="B126"/>
  <c r="B133" s="1"/>
  <c r="B132" s="1"/>
  <c r="D117"/>
  <c r="B121" s="1"/>
  <c r="B122" s="1"/>
  <c r="B128" s="1"/>
  <c r="C139"/>
  <c r="C140" s="1"/>
  <c r="B31" s="1"/>
  <c r="B34" s="1"/>
  <c r="B10"/>
  <c r="B12" l="1"/>
  <c r="B127"/>
  <c r="E166" i="6" l="1"/>
  <c r="E165"/>
  <c r="E163"/>
  <c r="E162"/>
  <c r="E161"/>
  <c r="D151"/>
  <c r="J145"/>
  <c r="C144"/>
  <c r="C145" s="1"/>
  <c r="H141"/>
  <c r="I141" s="1"/>
  <c r="G141"/>
  <c r="F141"/>
  <c r="H140"/>
  <c r="I140" s="1"/>
  <c r="G140"/>
  <c r="F140"/>
  <c r="D132"/>
  <c r="D130"/>
  <c r="D127"/>
  <c r="D125"/>
  <c r="D123"/>
  <c r="D121"/>
  <c r="D118"/>
  <c r="D117"/>
  <c r="D115"/>
  <c r="F106"/>
  <c r="C99"/>
  <c r="C98"/>
  <c r="C97" s="1"/>
  <c r="D120" s="1"/>
  <c r="C93"/>
  <c r="C146" s="1"/>
  <c r="C91"/>
  <c r="C92" s="1"/>
  <c r="C89"/>
  <c r="C90" s="1"/>
  <c r="C87"/>
  <c r="C88" s="1"/>
  <c r="C75"/>
  <c r="C76" s="1"/>
  <c r="C73"/>
  <c r="C74" s="1"/>
  <c r="C69"/>
  <c r="C68"/>
  <c r="C70" s="1"/>
  <c r="C78" s="1"/>
  <c r="C77" s="1"/>
  <c r="D119" s="1"/>
  <c r="D65"/>
  <c r="F49"/>
  <c r="F47"/>
  <c r="F46"/>
  <c r="I45"/>
  <c r="F39"/>
  <c r="D31"/>
  <c r="H20"/>
  <c r="I22" s="1"/>
  <c r="G146" l="1"/>
  <c r="E146"/>
  <c r="C140"/>
  <c r="C142"/>
  <c r="G144"/>
  <c r="D114"/>
  <c r="E144"/>
  <c r="D154" l="1"/>
  <c r="E145"/>
  <c r="D144"/>
  <c r="C141"/>
  <c r="D141" s="1"/>
  <c r="D140"/>
  <c r="C143"/>
  <c r="E142"/>
  <c r="G142"/>
  <c r="G145"/>
  <c r="F144"/>
  <c r="H144"/>
  <c r="I144" s="1"/>
  <c r="D156"/>
  <c r="D146"/>
  <c r="F146"/>
  <c r="H146"/>
  <c r="J146" s="1"/>
  <c r="I146" s="1"/>
  <c r="F142" l="1"/>
  <c r="H142"/>
  <c r="G143"/>
  <c r="G147"/>
  <c r="D155"/>
  <c r="D145"/>
  <c r="E143"/>
  <c r="E147"/>
  <c r="D142"/>
  <c r="D152"/>
  <c r="C147"/>
  <c r="F145"/>
  <c r="H145"/>
  <c r="I145" s="1"/>
  <c r="D147" l="1"/>
  <c r="D122" s="1"/>
  <c r="D124" s="1"/>
  <c r="D128" s="1"/>
  <c r="D153"/>
  <c r="D143"/>
  <c r="F143"/>
  <c r="H143"/>
  <c r="F147"/>
  <c r="D126" s="1"/>
  <c r="D157"/>
  <c r="J142"/>
  <c r="H147"/>
  <c r="J143" l="1"/>
  <c r="I143" s="1"/>
  <c r="I142"/>
  <c r="D129"/>
  <c r="E169" s="1"/>
  <c r="E171" s="1"/>
  <c r="I147" l="1"/>
  <c r="D131" s="1"/>
  <c r="D133" s="1"/>
  <c r="J147"/>
  <c r="J158" i="5"/>
  <c r="J157"/>
  <c r="C147"/>
  <c r="C149" s="1"/>
  <c r="C140"/>
  <c r="C142" s="1"/>
  <c r="C144" s="1"/>
  <c r="C138"/>
  <c r="C131"/>
  <c r="C130"/>
  <c r="C129"/>
  <c r="C132" s="1"/>
  <c r="B36" s="1"/>
  <c r="C124"/>
  <c r="C123"/>
  <c r="C122"/>
  <c r="C121" s="1"/>
  <c r="B19" s="1"/>
  <c r="C120"/>
  <c r="C119"/>
  <c r="B12" s="1"/>
  <c r="C118"/>
  <c r="C77" s="1"/>
  <c r="E113"/>
  <c r="C113"/>
  <c r="C114" s="1"/>
  <c r="C112"/>
  <c r="F109"/>
  <c r="C109" s="1"/>
  <c r="E109"/>
  <c r="E106"/>
  <c r="C106" s="1"/>
  <c r="C105"/>
  <c r="C111" s="1"/>
  <c r="C104"/>
  <c r="A104"/>
  <c r="A112" s="1"/>
  <c r="F102"/>
  <c r="C102" s="1"/>
  <c r="B17" s="1"/>
  <c r="E102"/>
  <c r="E99"/>
  <c r="C99" s="1"/>
  <c r="H98"/>
  <c r="E98"/>
  <c r="H97"/>
  <c r="F95"/>
  <c r="C95" s="1"/>
  <c r="F93"/>
  <c r="C93"/>
  <c r="H92"/>
  <c r="H93" s="1"/>
  <c r="H91"/>
  <c r="F91"/>
  <c r="C91"/>
  <c r="C92" s="1"/>
  <c r="H90"/>
  <c r="H89"/>
  <c r="F89"/>
  <c r="C89" s="1"/>
  <c r="C73"/>
  <c r="G68"/>
  <c r="C68"/>
  <c r="A52"/>
  <c r="A51"/>
  <c r="A50"/>
  <c r="D48"/>
  <c r="D47"/>
  <c r="B39"/>
  <c r="C35"/>
  <c r="H27"/>
  <c r="B24"/>
  <c r="B22"/>
  <c r="B21"/>
  <c r="I18"/>
  <c r="B14"/>
  <c r="I10"/>
  <c r="I9"/>
  <c r="B8"/>
  <c r="C5"/>
  <c r="C173" s="1"/>
  <c r="E3"/>
  <c r="I19" s="1"/>
  <c r="C3"/>
  <c r="B3"/>
  <c r="B48" s="1"/>
  <c r="E2"/>
  <c r="C2"/>
  <c r="B60" s="1"/>
  <c r="B61" s="1"/>
  <c r="C74" l="1"/>
  <c r="C75" s="1"/>
  <c r="C76"/>
  <c r="C107"/>
  <c r="C143"/>
  <c r="F47"/>
  <c r="C94"/>
  <c r="C133"/>
  <c r="F49" s="1"/>
  <c r="B4"/>
  <c r="D49"/>
  <c r="D50"/>
  <c r="C81"/>
  <c r="H94"/>
  <c r="I13" s="1"/>
  <c r="C148"/>
  <c r="B5"/>
  <c r="F48" s="1"/>
  <c r="B18"/>
  <c r="B25"/>
  <c r="C90"/>
  <c r="F98"/>
  <c r="C98" s="1"/>
  <c r="B11" s="1"/>
  <c r="B47"/>
  <c r="C83"/>
  <c r="B93" i="4"/>
  <c r="B56"/>
  <c r="B88"/>
  <c r="B89"/>
  <c r="B90"/>
  <c r="B91"/>
  <c r="B78"/>
  <c r="B92" s="1"/>
  <c r="B102"/>
  <c r="B59" s="1"/>
  <c r="B60"/>
  <c r="B61"/>
  <c r="B62"/>
  <c r="E37"/>
  <c r="B79"/>
  <c r="B84" s="1"/>
  <c r="B37" s="1"/>
  <c r="B110"/>
  <c r="B112" s="1"/>
  <c r="B113" s="1"/>
  <c r="E38" s="1"/>
  <c r="B106"/>
  <c r="B108" s="1"/>
  <c r="B109" s="1"/>
  <c r="B38" s="1"/>
  <c r="B119"/>
  <c r="B120" s="1"/>
  <c r="B131" s="1"/>
  <c r="B118"/>
  <c r="B130" s="1"/>
  <c r="C39" s="1"/>
  <c r="B143"/>
  <c r="B146"/>
  <c r="B136"/>
  <c r="B138" s="1"/>
  <c r="B150" s="1"/>
  <c r="D40" s="1"/>
  <c r="B149"/>
  <c r="C40" s="1"/>
  <c r="B158"/>
  <c r="B163" s="1"/>
  <c r="B41" s="1"/>
  <c r="B160"/>
  <c r="B12" s="1"/>
  <c r="B161"/>
  <c r="B164" s="1"/>
  <c r="E41" s="1"/>
  <c r="C41" s="1"/>
  <c r="B21"/>
  <c r="B22"/>
  <c r="B10"/>
  <c r="B154"/>
  <c r="B11"/>
  <c r="E40"/>
  <c r="B126"/>
  <c r="B9"/>
  <c r="B30"/>
  <c r="B74"/>
  <c r="B75" s="1"/>
  <c r="B81" s="1"/>
  <c r="C159" i="5" l="1"/>
  <c r="C84"/>
  <c r="C160" s="1"/>
  <c r="G74"/>
  <c r="G75" s="1"/>
  <c r="B38"/>
  <c r="F166"/>
  <c r="H95"/>
  <c r="C78"/>
  <c r="C69" s="1"/>
  <c r="C70" s="1"/>
  <c r="C86" s="1"/>
  <c r="I8"/>
  <c r="I11" s="1"/>
  <c r="B34"/>
  <c r="B33"/>
  <c r="C157"/>
  <c r="C82"/>
  <c r="C158" s="1"/>
  <c r="B35"/>
  <c r="C150"/>
  <c r="B26"/>
  <c r="C100"/>
  <c r="D50" i="4"/>
  <c r="B122"/>
  <c r="B125" s="1"/>
  <c r="B80"/>
  <c r="B94"/>
  <c r="B95" s="1"/>
  <c r="B96" s="1"/>
  <c r="B100"/>
  <c r="B57" s="1"/>
  <c r="B15"/>
  <c r="B132"/>
  <c r="E39" s="1"/>
  <c r="D39"/>
  <c r="D42" s="1"/>
  <c r="E42"/>
  <c r="C38"/>
  <c r="C37"/>
  <c r="C42" s="1"/>
  <c r="D52" s="1"/>
  <c r="B42"/>
  <c r="B101"/>
  <c r="B162"/>
  <c r="B46" i="5" l="1"/>
  <c r="I14"/>
  <c r="D157"/>
  <c r="E157"/>
  <c r="C85"/>
  <c r="C161" s="1"/>
  <c r="E161" s="1"/>
  <c r="C162"/>
  <c r="D158"/>
  <c r="E158" s="1"/>
  <c r="B37"/>
  <c r="C151"/>
  <c r="C153" s="1"/>
  <c r="F167"/>
  <c r="H166"/>
  <c r="D159"/>
  <c r="B18" i="4"/>
  <c r="D51"/>
  <c r="B63" s="1"/>
  <c r="B58"/>
  <c r="B64" s="1"/>
  <c r="B19"/>
  <c r="B24" s="1"/>
  <c r="B26" s="1"/>
  <c r="B29" s="1"/>
  <c r="B31" s="1"/>
  <c r="D46" s="1"/>
  <c r="D47" s="1"/>
  <c r="D53" s="1"/>
  <c r="F159" i="5" l="1"/>
  <c r="D160"/>
  <c r="E160" s="1"/>
  <c r="B51" s="1"/>
  <c r="H159"/>
  <c r="E159"/>
  <c r="D162"/>
  <c r="B9" s="1"/>
  <c r="C152"/>
  <c r="F50"/>
  <c r="G69"/>
  <c r="I16"/>
  <c r="D46"/>
  <c r="I166"/>
  <c r="H167"/>
  <c r="H169" s="1"/>
  <c r="B52"/>
  <c r="G161"/>
  <c r="I161" l="1"/>
  <c r="J161" s="1"/>
  <c r="F54" s="1"/>
  <c r="D54"/>
  <c r="E162"/>
  <c r="H162"/>
  <c r="B31" s="1"/>
  <c r="H160"/>
  <c r="I20"/>
  <c r="F46" s="1"/>
  <c r="G70"/>
  <c r="G71" s="1"/>
  <c r="B13"/>
  <c r="D13" s="1"/>
  <c r="D14" s="1"/>
  <c r="J166"/>
  <c r="I167"/>
  <c r="J167" s="1"/>
  <c r="G159"/>
  <c r="B50"/>
  <c r="B53" s="1"/>
  <c r="F160"/>
  <c r="F162" s="1"/>
  <c r="B15" s="1"/>
  <c r="G77" l="1"/>
  <c r="G76" s="1"/>
  <c r="F169"/>
  <c r="F168" s="1"/>
  <c r="G160"/>
  <c r="D53" s="1"/>
  <c r="D55" s="1"/>
  <c r="D52"/>
  <c r="G162"/>
  <c r="D27"/>
  <c r="B27" s="1"/>
  <c r="D60" s="1"/>
  <c r="B54"/>
  <c r="B55" s="1"/>
  <c r="D28"/>
  <c r="B62"/>
  <c r="B63" s="1"/>
  <c r="I159"/>
  <c r="B28" l="1"/>
  <c r="J159"/>
  <c r="F52" s="1"/>
  <c r="I160"/>
  <c r="J160" s="1"/>
  <c r="F53" s="1"/>
  <c r="I168"/>
  <c r="G168"/>
  <c r="G169" s="1"/>
  <c r="B30" s="1"/>
  <c r="F60" s="1"/>
  <c r="F55" l="1"/>
  <c r="I162"/>
  <c r="J162" s="1"/>
  <c r="J168"/>
  <c r="I169"/>
  <c r="J169" s="1"/>
  <c r="B40"/>
  <c r="D17"/>
  <c r="B41" l="1"/>
  <c r="B42"/>
  <c r="C172" s="1"/>
  <c r="C174" s="1"/>
  <c r="F41" s="1"/>
  <c r="F42" s="1"/>
  <c r="F56" s="1"/>
  <c r="F57" s="1"/>
  <c r="F61" l="1"/>
  <c r="F62" s="1"/>
</calcChain>
</file>

<file path=xl/sharedStrings.xml><?xml version="1.0" encoding="utf-8"?>
<sst xmlns="http://schemas.openxmlformats.org/spreadsheetml/2006/main" count="803" uniqueCount="522">
  <si>
    <t>שאלה בנושא 12-IAS</t>
  </si>
  <si>
    <t>רווח לפני מס בספרים:</t>
  </si>
  <si>
    <t>הוסף:</t>
  </si>
  <si>
    <t>הפחת:</t>
  </si>
  <si>
    <t>ביאור מסים נדחים</t>
  </si>
  <si>
    <t>שינוי</t>
  </si>
  <si>
    <t>(א)</t>
  </si>
  <si>
    <t>(ב)</t>
  </si>
  <si>
    <t>(ג)</t>
  </si>
  <si>
    <t>(ד)</t>
  </si>
  <si>
    <t>הכנסה חייבת</t>
  </si>
  <si>
    <t>חבות המס</t>
  </si>
  <si>
    <t>שיעור מס רגיל</t>
  </si>
  <si>
    <t>סה"כ</t>
  </si>
  <si>
    <t>ביאורים וחישובים</t>
  </si>
  <si>
    <t>חישוב הוצאות המס בספרים</t>
  </si>
  <si>
    <t>שינוי בשיעור המס</t>
  </si>
  <si>
    <t>V</t>
  </si>
  <si>
    <t>ביאור מס תיאורטי</t>
  </si>
  <si>
    <t>מס תיאורטי</t>
  </si>
  <si>
    <t>הוצאות המס האפקטיביות בספרים</t>
  </si>
  <si>
    <t>סה"כ הוצאות המס בספרים</t>
  </si>
  <si>
    <t>שינוי אחר</t>
  </si>
  <si>
    <t>הפרש</t>
  </si>
  <si>
    <t>(ה)</t>
  </si>
  <si>
    <t>12/2013</t>
  </si>
  <si>
    <t>הוצאות מס שוטפות:</t>
  </si>
  <si>
    <t>חבות המס:</t>
  </si>
  <si>
    <t>הוצאות מס שוטפות בספרים:</t>
  </si>
  <si>
    <t>שיעור מס רגיל - סיכום כל מה שמסומן ב-V בדוח ההתאמה - לפי שיעורי מס מתאימים</t>
  </si>
  <si>
    <t>מועד ב' סמסטר א' - תשע"ד - מאזנים מאוחדים א'</t>
  </si>
  <si>
    <t>דוח התאמה למס - שנת 2014</t>
  </si>
  <si>
    <t>השקעה בחברת "דור"</t>
  </si>
  <si>
    <t>1.7.2013 - חישוב עודף עלות וייחוסו:</t>
  </si>
  <si>
    <t>תמורה:</t>
  </si>
  <si>
    <t>עודף עלות:</t>
  </si>
  <si>
    <t>שווי נרכש:</t>
  </si>
  <si>
    <t>40%*80,000=</t>
  </si>
  <si>
    <t>ייחוס עודף עלות:</t>
  </si>
  <si>
    <t>מס נדחה</t>
  </si>
  <si>
    <t>מוניטין (PN)</t>
  </si>
  <si>
    <t>0.4*(30,000-20,000)=</t>
  </si>
  <si>
    <t>מס נדחה בזכות ליום 31/12/2013</t>
  </si>
  <si>
    <t>התנועה בחשבון ההשקעה מאיר-דור</t>
  </si>
  <si>
    <t>רווחי אקוויטי - 7-12/2013</t>
  </si>
  <si>
    <t>20,000*6/12*0.4=</t>
  </si>
  <si>
    <t>יתרה - 31/12/2013</t>
  </si>
  <si>
    <t>עלות - 1/7/2013</t>
  </si>
  <si>
    <t>רווחי אקוויטי - 2014</t>
  </si>
  <si>
    <t>30,000*0.4=</t>
  </si>
  <si>
    <t xml:space="preserve">התאמת מדיניות - נדל"ן להשקעה </t>
  </si>
  <si>
    <t>יתרה - 31/12/2014 - לפני מכירת 10% ממניות דור</t>
  </si>
  <si>
    <t>גריעה - 31/12/2014</t>
  </si>
  <si>
    <t>יתרה לאחר גריעה - 31/12/2014</t>
  </si>
  <si>
    <t>40,000-50,000*1/4=</t>
  </si>
  <si>
    <t>רווח לצרכי מס בגין מכירת 10% ממניות דור - חייב במס רווח הון - "הוסף" בדוח ההתאמה למס</t>
  </si>
  <si>
    <t>מלאי</t>
  </si>
  <si>
    <t>מס נדחה בזכות - עודף עלות בגין מלאי:</t>
  </si>
  <si>
    <t>4,000*0.25=</t>
  </si>
  <si>
    <t>מס נדחה בזכות ליום 31/12/2014 -המלאי מומש לחיצוניים</t>
  </si>
  <si>
    <t>הפחתת עודף עלות - מלאי - נטו ממס</t>
  </si>
  <si>
    <t>4,000*0.75=</t>
  </si>
  <si>
    <t>"הוסף" - ביטול הפחתת עודף עלות - מלאי - ברוטו (בגינו נוצרו מסים נדחים)</t>
  </si>
  <si>
    <t>רווח לצרכי מס בגין מכירת 10% ממניות דור - לפי מס רווח הון * (א)</t>
  </si>
  <si>
    <t>יש השפעה על דוח ההתאמה למס בגין רווחי האקוויטי לשנת 2014, שהוכרו ברווח לפני מס, אך לצרכי מס אינם מוכרים:</t>
  </si>
  <si>
    <t>"הפחת" - ביטול רווחי אקוויטי והתאמת מדיניות נדל"ן להשקעה (בגינם לא נוצרו מסים נדחים בספרי מאיר)</t>
  </si>
  <si>
    <t>ביטול הפחתת עודף עלות - מימוש מלאי לחיצוניים (א)</t>
  </si>
  <si>
    <t>ביטול רווחי אקוויטי (א)</t>
  </si>
  <si>
    <t>ביטול רווח שנרשם בספרים בגין מכירת 10% ממניות דור (א)</t>
  </si>
  <si>
    <t>רווח לצרכי מס ממכירת 10% ממניות דור - התאמה לשיעור מס רווח הון *</t>
  </si>
  <si>
    <t>27,500*(0.25-0.2)=</t>
  </si>
  <si>
    <t>השקעה בחברת "דור" - עודף עלות - מלאי (א)</t>
  </si>
  <si>
    <t>12/2014</t>
  </si>
  <si>
    <t>רווח שנרשם בספרים בגין מכירת 10% ממניות דור - "הפחת" בדוח ההתאמה למס</t>
  </si>
  <si>
    <t>50,000*0.2=</t>
  </si>
  <si>
    <t>השקעה במניות חברת "דבורה"</t>
  </si>
  <si>
    <t>השקעה במניות "דבורה" - ספרים - 12/2013:</t>
  </si>
  <si>
    <t>השקעה במניות "דבורה" - לצרכי מס - 12/2013:</t>
  </si>
  <si>
    <t>10,000*1.3=</t>
  </si>
  <si>
    <t>יתרת מס נדחה בזכות 12/2013 (מס רווח הון):</t>
  </si>
  <si>
    <t>3,000*0.2=</t>
  </si>
  <si>
    <t>השקעה במניות "דבורה" - ספרים - 12/2014:</t>
  </si>
  <si>
    <t>השקעה במניות "דבורה" - לצרכי מס - 12/2014:</t>
  </si>
  <si>
    <t>יתרת מס נדחה בזכות 12/2014 (מס רווח הון):</t>
  </si>
  <si>
    <t>10,000*1.4=</t>
  </si>
  <si>
    <t>לפי מס רווח הון</t>
  </si>
  <si>
    <t>14,000-13,000=</t>
  </si>
  <si>
    <t>השקעה במניות "דבורה" - ניירות ערך למסחר (ב)</t>
  </si>
  <si>
    <t>ביטול עליית ערך שנרשמה בספרים - מניות "דבורה" - מרכיב הפרשי מס</t>
  </si>
  <si>
    <t>(14,000-13,000)*(0.25-0.2)=</t>
  </si>
  <si>
    <t xml:space="preserve">רווח לצרכי מס בגין מכירת 10% ממניות דור - לפי מס רווח הון </t>
  </si>
  <si>
    <t>27,500*0.2=</t>
  </si>
  <si>
    <t>סה"כ:</t>
  </si>
  <si>
    <t>ציוד - שיטות פחת ושיטות חשבונאיות שונות:</t>
  </si>
  <si>
    <t>ניתוח עיתוי היפוך הפרש זמני - ספרים - מס הכנסה</t>
  </si>
  <si>
    <t>בגין שיטות פחת שונות (הוצאות מס נדחות):</t>
  </si>
  <si>
    <t>בגין קרן שערוך:</t>
  </si>
  <si>
    <t>50,000*4.5/5=</t>
  </si>
  <si>
    <t>50,000*12.5/15=</t>
  </si>
  <si>
    <t>60,000-41,667=</t>
  </si>
  <si>
    <t>יתרת קרן שערוך ברוטו ליום 31/12/2014</t>
  </si>
  <si>
    <t>סה"כ הפרש ספרים - מס הכנסה ליום 31/12/2014</t>
  </si>
  <si>
    <t>60,000-45,000=</t>
  </si>
  <si>
    <t>יתרת מס נדחה בזכות ליום 31/12/2014:</t>
  </si>
  <si>
    <t>60,000*3.5/4.5-50,000*8/15=</t>
  </si>
  <si>
    <t>המס הנדחה בגין קרן השערוך יתהפך בקו ישר ב-4.5 השנים הבאות, ולכן שיעורי המס בגינו מדורגים.</t>
  </si>
  <si>
    <t xml:space="preserve">(45,000 - 41,667)*0.3 = </t>
  </si>
  <si>
    <t>15,000*1/4.5*0.28+15,000*3.5/4.5*0.3=</t>
  </si>
  <si>
    <t>יתרת נכס לצרכי מס - עלות - 31/12/2014</t>
  </si>
  <si>
    <t>יתרת נכס בספרים - לפני שערוך - 31/12/2014</t>
  </si>
  <si>
    <t>יתרת נכס בספרים לאחר שערוך - 31/12/2014</t>
  </si>
  <si>
    <t>מכאן שהפרשי העיתוי, ללא התייחסות לקרן השערוך, מתהפכים לפי שיעור המס שיחול מ-2016 ואילך - 30%.</t>
  </si>
  <si>
    <t>שערוך - ציוד (ג)</t>
  </si>
  <si>
    <t>פחת בספרים - ציוד (ג)</t>
  </si>
  <si>
    <t>ביטול עליית ערך שנרשמה בספרים - השקעה במניות "דבורה" (ב)</t>
  </si>
  <si>
    <t>פחת - מס הכנסה - ציוד (ג)</t>
  </si>
  <si>
    <t>50,000*2.5/15=</t>
  </si>
  <si>
    <t>50,000*0.5/5=</t>
  </si>
  <si>
    <t>הוצאות מס נדחות:</t>
  </si>
  <si>
    <t>הוצאות מס נדחות סה"כ:</t>
  </si>
  <si>
    <t>תוכנה (נכס בלתי מוחשי)</t>
  </si>
  <si>
    <t>לצרכי מס אין כלל נכס בלתי מוחשי</t>
  </si>
  <si>
    <t xml:space="preserve">שינוי </t>
  </si>
  <si>
    <t>30,000*2.75/3=</t>
  </si>
  <si>
    <t>60,000-27,500=</t>
  </si>
  <si>
    <t>60,000*1.75/2.75=</t>
  </si>
  <si>
    <t>יתרת נכס בספרים - לאחר שערוך - 31/12/2014</t>
  </si>
  <si>
    <t>שערוך - 2014</t>
  </si>
  <si>
    <t>יתרת מס נדחה בזכות ליום 31/12/2014</t>
  </si>
  <si>
    <t>12/2015</t>
  </si>
  <si>
    <t>יתרת ההפרש הזמני תיסגר לפי שיעור מס 30%</t>
  </si>
  <si>
    <t>(60,000-38,182)*0.28+38,182*0.3=</t>
  </si>
  <si>
    <t>יצירת המס הנדחה בזכות מורכבת משני נדבכים: שינוי בגין העלות המופחתת המקורית של הנכס הבלתי מוחשי, ושינוי אחר - בגין השערוך ביום 31/12/2014.</t>
  </si>
  <si>
    <t>17,564*27,500/60,000=</t>
  </si>
  <si>
    <t>17,564*32,500/60,000=</t>
  </si>
  <si>
    <t>בדוח ההתאמה למס:</t>
  </si>
  <si>
    <t>"הפחת" בגין עלויות פיתוח שהוכרו במלואן על ידי רשויות המס</t>
  </si>
  <si>
    <t>"הוסף" בגין ביטול הוצאות פחת - נכס בלתי מוחשי, שנרשמו בספרים ואינן מוכרות על ידי רשויות המס</t>
  </si>
  <si>
    <t>פחת בספרים - תוכנה (ד)</t>
  </si>
  <si>
    <t>הוצאות פיתוח תוכנה (ד)</t>
  </si>
  <si>
    <t>הלח"מ</t>
  </si>
  <si>
    <t>חוב אבוד</t>
  </si>
  <si>
    <t>תוכנה - נכס בלתי מוחשי (ד)</t>
  </si>
  <si>
    <t>הלח"מ (ה)</t>
  </si>
  <si>
    <t>30,000*0.25/3=</t>
  </si>
  <si>
    <t>הלח"מ 12/2013</t>
  </si>
  <si>
    <t>1,500,000*5%=</t>
  </si>
  <si>
    <t>הוצאות בגין חומ"ס - 2014</t>
  </si>
  <si>
    <t>2,000,000*5%=</t>
  </si>
  <si>
    <t>הלח"מ 12/2014</t>
  </si>
  <si>
    <t>גידול בהלח"מ - 2014</t>
  </si>
  <si>
    <t>155,000-75,000=</t>
  </si>
  <si>
    <t>מס נדחה בחובה 12/2013</t>
  </si>
  <si>
    <t>מס נדחה בחובה 12/2014</t>
  </si>
  <si>
    <t>75,000*25%=</t>
  </si>
  <si>
    <t>יש להניח כי כל ההלח"מ תיסגר בשנת 2015</t>
  </si>
  <si>
    <t>155,000*28%=</t>
  </si>
  <si>
    <t>הוצאות בגין חובות מסופקים (ה)</t>
  </si>
  <si>
    <t>חוב אבוד (ה)</t>
  </si>
  <si>
    <t>הוצאות רכב</t>
  </si>
  <si>
    <t>נסיעות לחו"ל</t>
  </si>
  <si>
    <t>854,411*0.25=</t>
  </si>
  <si>
    <t>5,000*0.25=</t>
  </si>
  <si>
    <t>7,000*0.25=</t>
  </si>
  <si>
    <t>ביטול רווח הון שנרשם בספרים בגין מכירת 10% ממניות דור</t>
  </si>
  <si>
    <t>ביטול רווחי אקוויטי (בגינם לא נוצרו מסים נדחים)</t>
  </si>
  <si>
    <t>(40,000-30,000*24/25)*0.4*(1/24*0.72+23/24*0.7)=</t>
  </si>
  <si>
    <t>66,140*0.1/0.4=</t>
  </si>
  <si>
    <t>12,000+3,140=</t>
  </si>
  <si>
    <t>40,000-16,535=</t>
  </si>
  <si>
    <t>15,140*0.25=</t>
  </si>
  <si>
    <t>23,465*0.25=</t>
  </si>
  <si>
    <t>תאריך</t>
  </si>
  <si>
    <t>שיעור החזקה</t>
  </si>
  <si>
    <t>מספר מניות שמחזיקה חברה א</t>
  </si>
  <si>
    <t>שחזור מספר מניות שבמחזור</t>
  </si>
  <si>
    <t>מחירי מניה</t>
  </si>
  <si>
    <t>1.7.2011-31.12.2011</t>
  </si>
  <si>
    <t>1.7.2011-31.12.2013</t>
  </si>
  <si>
    <t>1.7.2011</t>
  </si>
  <si>
    <t>1.1.2012-31.12.2013</t>
  </si>
  <si>
    <t>1.1.2014-31.12.2014</t>
  </si>
  <si>
    <t>1.1.2012</t>
  </si>
  <si>
    <t>1.1.2014</t>
  </si>
  <si>
    <t>31.12.2014</t>
  </si>
  <si>
    <t>נדרש א</t>
  </si>
  <si>
    <t>תנועה בחשבון השקעה</t>
  </si>
  <si>
    <t>ביאור</t>
  </si>
  <si>
    <t xml:space="preserve">תנועה בהפסדים/ רווחים שטרם הוכרו </t>
  </si>
  <si>
    <t>הפרשה לירידת ערך</t>
  </si>
  <si>
    <t>תנועה בהון העצמי של חברה ב- לא נדרש</t>
  </si>
  <si>
    <t>עלות - 1.1.2012</t>
  </si>
  <si>
    <t>הפחתת עו"ע</t>
  </si>
  <si>
    <t>הפסד השנה</t>
  </si>
  <si>
    <t>התאמת מדיניות רכוש קבוע</t>
  </si>
  <si>
    <t>קרן שערוך</t>
  </si>
  <si>
    <t>שינוי בפחת</t>
  </si>
  <si>
    <t>31.12.2012</t>
  </si>
  <si>
    <t>התאמת מדיניות מלאי</t>
  </si>
  <si>
    <t>רווח השנה</t>
  </si>
  <si>
    <t>הפסדי אקוויטי</t>
  </si>
  <si>
    <t>P.N.</t>
  </si>
  <si>
    <t>עד גובה הערבות</t>
  </si>
  <si>
    <t>31.12.2013</t>
  </si>
  <si>
    <t>רכישת מניות באוצר</t>
  </si>
  <si>
    <t>ביטול הפסד</t>
  </si>
  <si>
    <t>דיבידנד</t>
  </si>
  <si>
    <t>עסקה פנימית 1</t>
  </si>
  <si>
    <t>יצירה</t>
  </si>
  <si>
    <t>מימוש</t>
  </si>
  <si>
    <t>עסקה פנימית 2</t>
  </si>
  <si>
    <t>יצירה - קרקע</t>
  </si>
  <si>
    <t>יצירה - מבנה</t>
  </si>
  <si>
    <t>מימוש מבנה</t>
  </si>
  <si>
    <t>רווחי אקוויטי</t>
  </si>
  <si>
    <t>סה"כ רווחים בניכוי הפסדים שטרם הוכרו</t>
  </si>
  <si>
    <t>סגירה</t>
  </si>
  <si>
    <t xml:space="preserve">ביטול מוניטין שלילי </t>
  </si>
  <si>
    <t>הפרשי פחת</t>
  </si>
  <si>
    <t>ביטול רווח</t>
  </si>
  <si>
    <t>מימוש עסקה פנימית 1</t>
  </si>
  <si>
    <t>מימוש עסקה פנימית 2</t>
  </si>
  <si>
    <t>מכירה</t>
  </si>
  <si>
    <t>סכום בר השבה</t>
  </si>
  <si>
    <t>נדרש ב - הרכב חשבון השקעה</t>
  </si>
  <si>
    <t>שנת 2012</t>
  </si>
  <si>
    <t>שנת 2013</t>
  </si>
  <si>
    <t>שנת 2014</t>
  </si>
  <si>
    <t>שווי מאזני</t>
  </si>
  <si>
    <t>עוע</t>
  </si>
  <si>
    <t>כלי רכב</t>
  </si>
  <si>
    <t>בניכוי הפסדים שטרם הוכרו</t>
  </si>
  <si>
    <t>מוניטין</t>
  </si>
  <si>
    <t>נדרש ג - השפעה על הרווח הכולל</t>
  </si>
  <si>
    <t>קרן ני"ע זמינים למכירה</t>
  </si>
  <si>
    <t>רווח הון - גישת המעברים</t>
  </si>
  <si>
    <t>הפסד הון</t>
  </si>
  <si>
    <t>רווח כולל</t>
  </si>
  <si>
    <t>ביאורים</t>
  </si>
  <si>
    <t>חישוב עודף עלות</t>
  </si>
  <si>
    <t>תמורה</t>
  </si>
  <si>
    <t>יש ליישם את גישת המעברים</t>
  </si>
  <si>
    <t>שווי מאזני נרכש</t>
  </si>
  <si>
    <t>שווי מאזני לפני</t>
  </si>
  <si>
    <t>שווי מאזני אחרי</t>
  </si>
  <si>
    <t>הון מתוקן</t>
  </si>
  <si>
    <t>עו"ע</t>
  </si>
  <si>
    <t xml:space="preserve">הון נתון </t>
  </si>
  <si>
    <t>הון + עודפים</t>
  </si>
  <si>
    <t>ייחוס עו"ע</t>
  </si>
  <si>
    <t>סה"כ הון נתון</t>
  </si>
  <si>
    <t>התאמה בגין מדיניות- ר"ק</t>
  </si>
  <si>
    <t xml:space="preserve">מונטין שלילי יש להכיר ברווח </t>
  </si>
  <si>
    <t>התאמה בגין מדיניות-מלאי</t>
  </si>
  <si>
    <t>מדיניות רכוש קבוע</t>
  </si>
  <si>
    <t>נטו ממס</t>
  </si>
  <si>
    <t>חברה ב</t>
  </si>
  <si>
    <t>חברה א</t>
  </si>
  <si>
    <t>תנועה בקרן השערוך של ב</t>
  </si>
  <si>
    <t>הפחתה</t>
  </si>
  <si>
    <t>שערוך</t>
  </si>
  <si>
    <t>איפוס הקרן</t>
  </si>
  <si>
    <t>לאחר הכרה ברווח</t>
  </si>
  <si>
    <t>לא רלוונטי כיוון שא לא מושכת</t>
  </si>
  <si>
    <t xml:space="preserve"> ביטול קרן שערוך</t>
  </si>
  <si>
    <t>סה"כ שינוי</t>
  </si>
  <si>
    <t>פיצול השערוך</t>
  </si>
  <si>
    <t>ביטול קרן שערוך</t>
  </si>
  <si>
    <t>סה"כ ביטול שערוך</t>
  </si>
  <si>
    <t>מדיניות מלאי</t>
  </si>
  <si>
    <t xml:space="preserve">עסקאות פנימיות </t>
  </si>
  <si>
    <t>עסקה 1</t>
  </si>
  <si>
    <t>מכיוון שהנכס אצל חברה א שיעור ההחזקה קבוע:20%</t>
  </si>
  <si>
    <t xml:space="preserve"> יצירה-  1.1.2013</t>
  </si>
  <si>
    <t>עסקה 2</t>
  </si>
  <si>
    <t>הנכס נמצא אצל חברה ב ב-1.1.2014 שיעור ההחזקה עולה ולכן העסקה הפנימית נשארת על 20% במכירה יש לגרוע את העסקה הפנימית לפי החלק היחסי ירידה בשיעור ההחזקה</t>
  </si>
  <si>
    <t>קרקע</t>
  </si>
  <si>
    <t>ניצור לפי מס רווח הון</t>
  </si>
  <si>
    <t>ירידה בשיעור החזקה</t>
  </si>
  <si>
    <t>מתקבל אוטומטית בתנועה</t>
  </si>
  <si>
    <t>מבנה</t>
  </si>
  <si>
    <t>טבלת עו"ע - 1</t>
  </si>
  <si>
    <t>טבלת עו"ע - 2</t>
  </si>
  <si>
    <t>ביטול מונטין שלילי</t>
  </si>
  <si>
    <t>ירידת ערך</t>
  </si>
  <si>
    <t>השקעה בספרים</t>
  </si>
  <si>
    <t>פתרון שאלה חגי -  מועד ב' תשע"ד מאוחדים א'</t>
  </si>
  <si>
    <t>השאלה עוסקת במספר שחזורים. עיקר הנתונים בשאלה הם לגבי הרכב חשבון ההשקעה ל-31.12.15 ובאמצעותם יש לשחזר רטרואקטיבית את התנועה בחשבון השקעה.</t>
  </si>
  <si>
    <t>בכדי לפתור את השאלה בצורה מסודרת, רצוי לשרטט ציר זמן ולשבץ עליו את נתוני השאלה.</t>
  </si>
  <si>
    <t>חלוקת ניקוד:</t>
  </si>
  <si>
    <t>נדרש 1</t>
  </si>
  <si>
    <t>א- 1.5%</t>
  </si>
  <si>
    <t>נקודה בגין 2015, ועוד חצי נקודה בגין 2014.</t>
  </si>
  <si>
    <t>ב- 2%</t>
  </si>
  <si>
    <t>ג- 2%</t>
  </si>
  <si>
    <t>ד- 6%</t>
  </si>
  <si>
    <t>חישוב וייחוס ע"ע לתאריך 1.4.14=3% (כולל מוניטין שלילי) , וחישוב וייחוס עלות 1.10.14= 3% נוספים.</t>
  </si>
  <si>
    <t>ה- 1.5%</t>
  </si>
  <si>
    <t>נדרש 2</t>
  </si>
  <si>
    <t>תנועה בהשקעה לשנת 2014= 4%, ובגין 2015 4% נוספים.</t>
  </si>
  <si>
    <t>נדרש 3</t>
  </si>
  <si>
    <t>נדרש 4</t>
  </si>
  <si>
    <t>נדרש 1. א. - שיעור המס.</t>
  </si>
  <si>
    <t>נתון כי במחצית הראשונה של 2015 עלה שיעור המס ב-3%.</t>
  </si>
  <si>
    <t>בהרכב חשבון ההשקעה לסוף 2015 נתונה יתרת ע"ע:</t>
  </si>
  <si>
    <t>משאית</t>
  </si>
  <si>
    <t>שיעור המס</t>
  </si>
  <si>
    <t>9975/35625=</t>
  </si>
  <si>
    <t>לאחר שמצאנו ששיעור המס בשנת 2015 הינו 28%  הרי ששיעור המס ב-2014 היה:</t>
  </si>
  <si>
    <t>28%-3%=</t>
  </si>
  <si>
    <t>נדרש 1 ב. - מספר המניות שנרכשו ביום 1.10.14</t>
  </si>
  <si>
    <t>רווח 2015</t>
  </si>
  <si>
    <t>רווח 2014</t>
  </si>
  <si>
    <t>הנפקה</t>
  </si>
  <si>
    <t>הון 1.1.14</t>
  </si>
  <si>
    <t>ההון העצמי של יצחק ביום 31.12.15:</t>
  </si>
  <si>
    <t>90000=</t>
  </si>
  <si>
    <t>120000-</t>
  </si>
  <si>
    <t>120000+</t>
  </si>
  <si>
    <t>800000+</t>
  </si>
  <si>
    <t>450000+</t>
  </si>
  <si>
    <t>בהרכב חשבון ההשקעה ליום 31.12.2015, נתון כי חלקי בשווי עמד על 294,000 ₪.</t>
  </si>
  <si>
    <t>נסמן - X כאחוז האחזקה ביום 31.12.15:</t>
  </si>
  <si>
    <t>1,400,000*X=294,000</t>
  </si>
  <si>
    <t>X=</t>
  </si>
  <si>
    <t>נסמן Y כעלייה באחוז ההשקעה ביום 1.10.14.</t>
  </si>
  <si>
    <t>(5%+Y+15%)*1/2=21%</t>
  </si>
  <si>
    <t>Y=</t>
  </si>
  <si>
    <t>דהיינו, לאחר ההנפקה שיעור ההחזקה עומד על 22%+5%=27% מתוך 30,000 מניות.</t>
  </si>
  <si>
    <t>מספר המניות המוחזקות  לאחר הנפקה:</t>
  </si>
  <si>
    <t>30,000*27%=</t>
  </si>
  <si>
    <t>מספר המניות שנרכשו כבר ב- 1.1.14:</t>
  </si>
  <si>
    <t>נתון</t>
  </si>
  <si>
    <t>מספר  המניות שנרכשו בהנפקה ביום 1.4.14:</t>
  </si>
  <si>
    <t>נדרש 1ג. - שוויה ההוגן של המשאית ליום 1.4.14</t>
  </si>
  <si>
    <t>נתונים משאית:</t>
  </si>
  <si>
    <t>עלות:</t>
  </si>
  <si>
    <t>תאריך רכישה:</t>
  </si>
  <si>
    <t>30.9.2011</t>
  </si>
  <si>
    <t>אחוז פחת</t>
  </si>
  <si>
    <t>&lt;=</t>
  </si>
  <si>
    <t>אורך חיים</t>
  </si>
  <si>
    <t>1/12.5%=</t>
  </si>
  <si>
    <t>עלות מופחתת 1.4.14:</t>
  </si>
  <si>
    <t>600,000*5.5/8=</t>
  </si>
  <si>
    <t>עלות מופחתת 1.10.14:</t>
  </si>
  <si>
    <t>600000*5/8=</t>
  </si>
  <si>
    <t>עודף עלות שיוחסה למשאית ביום 1.10.14:</t>
  </si>
  <si>
    <t>(475000-375000)*15%=</t>
  </si>
  <si>
    <t>סה"כ עודף העלות בגין המשאית ליום 31.12.15:</t>
  </si>
  <si>
    <t>נסמן X כעודף העלות שיוחס למשאית ביום 1.4.14</t>
  </si>
  <si>
    <t>=</t>
  </si>
  <si>
    <t>0.5*(X*3.75/5.5+3750*3.75/5)</t>
  </si>
  <si>
    <t>נסמן ב-Y, את שוויה ההוגן של המשאית ליום 1.4.14:</t>
  </si>
  <si>
    <t>(Y-412500)*27%=</t>
  </si>
  <si>
    <t>שוויה ההוגן של המשאית ליום 1.4.14:</t>
  </si>
  <si>
    <t>נדרש 1ד. - תמורת הרכישה ליום 1.10.14</t>
  </si>
  <si>
    <t>נתונה יתרת המוניטין ליום 31.12.15:</t>
  </si>
  <si>
    <t xml:space="preserve">מספר זה מורכב מיתרת המוניטין משתי הרכישות. </t>
  </si>
  <si>
    <t>את המוניטין מיום 1.4.14 ניתן לחשב כרגיל בייחוס עודף העלות, וממילא ההפרש (PN) יהיה המוניטין מיום 1.10.14.</t>
  </si>
  <si>
    <t>מחיר מניה ליום 1.4.14:</t>
  </si>
  <si>
    <t>800000/20000=</t>
  </si>
  <si>
    <t>חישוב ע"ע 1.4.14</t>
  </si>
  <si>
    <t>30000*27%*40=</t>
  </si>
  <si>
    <t>כולל השווי ההוגן של המניות שנרכשו ב-1.1.14</t>
  </si>
  <si>
    <t>27%(450000+120000*3/12+800000)=</t>
  </si>
  <si>
    <t>ע"ע:</t>
  </si>
  <si>
    <t>ייחוס ע"ע 1.4.14</t>
  </si>
  <si>
    <t>(עיין לעיל נדרש 1ג)</t>
  </si>
  <si>
    <t>88000*25%=</t>
  </si>
  <si>
    <t>מחשב</t>
  </si>
  <si>
    <t>27%*(300000-(1.2M-1.2M*15%*5.25))=</t>
  </si>
  <si>
    <t>12,150*25%=</t>
  </si>
  <si>
    <t>מוניטין:</t>
  </si>
  <si>
    <t>סה"כ ע"ע</t>
  </si>
  <si>
    <t>המוניטין יצא שלילי, מדובר ברכישה במחיר הזדמנותי, ועל כן נפחית את כולו מיידית.</t>
  </si>
  <si>
    <t>מכאן ניתן להסיק כי כל המוניטין שנותר בספרי אברהם ליום 31.12.15 הינו בגין הרכישה השנייה מתאריך 1.10.14.</t>
  </si>
  <si>
    <t>אלא שבתאריך 1.7.15, מכרה אברהם מחצית מההשקעה, ונתון כי המוניטין שנותר הוא:</t>
  </si>
  <si>
    <t>X*0.5=41,062</t>
  </si>
  <si>
    <t>המוניטין שיוחס ביום 1.10.14:</t>
  </si>
  <si>
    <t>ייחוס ע"ע 1.10.14</t>
  </si>
  <si>
    <t>חושב לעיל נדרש 1ג</t>
  </si>
  <si>
    <t>15,000*25%=</t>
  </si>
  <si>
    <t>15%*(200000-(1.2M-1.2M*15%*5.75))=</t>
  </si>
  <si>
    <t>5250*25%=</t>
  </si>
  <si>
    <t>(20000-5000)*15%=</t>
  </si>
  <si>
    <t>2250*25%=</t>
  </si>
  <si>
    <t>חושב לעיל</t>
  </si>
  <si>
    <t>סה"כ ע"ע:</t>
  </si>
  <si>
    <t>חישוב ע"ע 1.10.14</t>
  </si>
  <si>
    <t>15%*(450000+120000*9/12+800000)=</t>
  </si>
  <si>
    <t>מצאנו שהתמורה ביום 1.10.14 היתה 300,000 ₪ !</t>
  </si>
  <si>
    <t>נדרש 1ה. כמה מהע.פ. מומשה במחצית הראשונה של 2015?</t>
  </si>
  <si>
    <r>
      <t xml:space="preserve">יש לשים לב שאין מדובר </t>
    </r>
    <r>
      <rPr>
        <b/>
        <sz val="11"/>
        <color theme="1"/>
        <rFont val="Arial"/>
        <family val="2"/>
        <scheme val="minor"/>
      </rPr>
      <t>באחוז רווח גולמי</t>
    </r>
    <r>
      <rPr>
        <sz val="11"/>
        <color theme="1"/>
        <rFont val="Arial"/>
        <family val="2"/>
        <scheme val="minor"/>
      </rPr>
      <t xml:space="preserve"> של 40%, אלא </t>
    </r>
    <r>
      <rPr>
        <b/>
        <sz val="11"/>
        <color theme="1"/>
        <rFont val="Arial"/>
        <family val="2"/>
        <scheme val="minor"/>
      </rPr>
      <t xml:space="preserve">בעלות +40% </t>
    </r>
    <r>
      <rPr>
        <sz val="11"/>
        <color theme="1"/>
        <rFont val="Arial"/>
        <family val="2"/>
        <scheme val="minor"/>
      </rPr>
      <t>!</t>
    </r>
  </si>
  <si>
    <t>נתונה היתרה של הע.פ. ליום 31.12.15:</t>
  </si>
  <si>
    <t xml:space="preserve">סך הרווח מהעסקה נטו ממס הינו: </t>
  </si>
  <si>
    <t>100,000/1.4*0.4*0.72=</t>
  </si>
  <si>
    <t>נסמן X, כאחוז מהמלאי שעדיין לא נמכר לחיצוניים בשנת 2015:</t>
  </si>
  <si>
    <t>20571*21%*X=</t>
  </si>
  <si>
    <t>נותרו במלאי:</t>
  </si>
  <si>
    <t>X=10%</t>
  </si>
  <si>
    <r>
      <t>נתון שמחצית השנייה של 2015 נמכר 40%, ולכן ב</t>
    </r>
    <r>
      <rPr>
        <b/>
        <sz val="11"/>
        <color theme="1"/>
        <rFont val="Arial"/>
        <family val="2"/>
        <scheme val="minor"/>
      </rPr>
      <t>מחצית הראשונה נמכר</t>
    </r>
    <r>
      <rPr>
        <sz val="11"/>
        <color theme="1"/>
        <rFont val="Arial"/>
        <family val="2"/>
        <scheme val="minor"/>
      </rPr>
      <t>:</t>
    </r>
  </si>
  <si>
    <r>
      <rPr>
        <sz val="11"/>
        <color theme="1"/>
        <rFont val="Arial"/>
        <family val="2"/>
        <scheme val="minor"/>
      </rPr>
      <t>100%-10%-40%=</t>
    </r>
    <r>
      <rPr>
        <b/>
        <sz val="11"/>
        <color theme="1"/>
        <rFont val="Arial"/>
        <family val="2"/>
        <scheme val="minor"/>
      </rPr>
      <t>50%</t>
    </r>
  </si>
  <si>
    <t>נדרש 2. תנועה בחשבון השקעה</t>
  </si>
  <si>
    <t>עלות 1.4.2014:</t>
  </si>
  <si>
    <t>רווחי אקוויטי 4-9/2014:</t>
  </si>
  <si>
    <t>120000*6/12*27%=</t>
  </si>
  <si>
    <t>הפחתת ע"ע:</t>
  </si>
  <si>
    <t>משאית:</t>
  </si>
  <si>
    <t>88000*75%*0.5/5.5=</t>
  </si>
  <si>
    <t>מחשב:</t>
  </si>
  <si>
    <t>12150*75%*6/17=</t>
  </si>
  <si>
    <t>מפחיתים את המוניטין השלילי כרכישה במחיר הזדמנותי</t>
  </si>
  <si>
    <t>עלות 1.10.14:</t>
  </si>
  <si>
    <t>רווחי אקוויטי 10-12/2014</t>
  </si>
  <si>
    <t>120000*3/12*42%=</t>
  </si>
  <si>
    <t>באור 1</t>
  </si>
  <si>
    <t>דיבידנד:</t>
  </si>
  <si>
    <t>90000*42%=</t>
  </si>
  <si>
    <t>יתרה 31.12.2014:</t>
  </si>
  <si>
    <t>עיין הרכב חשבון השקעה לקמן בנדרש 3</t>
  </si>
  <si>
    <t>רווחי אקוויטי 1-6/2015:</t>
  </si>
  <si>
    <t>120000*6/12*42%=</t>
  </si>
  <si>
    <t>הפחתת ע"ע 1-6/2015:</t>
  </si>
  <si>
    <t>עסקה פנימית מלאי:</t>
  </si>
  <si>
    <t>100000*0.4/1.4*72%*42%*50%=</t>
  </si>
  <si>
    <t>יתרה 30.6.2015:</t>
  </si>
  <si>
    <t>גריעה:</t>
  </si>
  <si>
    <t>700460/2=</t>
  </si>
  <si>
    <t>רווחי אקוויטי 7-12/2015:</t>
  </si>
  <si>
    <t>120000*6/12*21%=</t>
  </si>
  <si>
    <t>הפחתת ע"ע 7-12/2015:</t>
  </si>
  <si>
    <t>מימוש עסקה פנימית:</t>
  </si>
  <si>
    <t>4320*0.5*0.4/0.5=</t>
  </si>
  <si>
    <t>יתרה 31.12.2015:</t>
  </si>
  <si>
    <t>באור 1:</t>
  </si>
  <si>
    <t>טבלת הפחתת עודף עלות</t>
  </si>
  <si>
    <t>מס 25%</t>
  </si>
  <si>
    <t>מס 28%</t>
  </si>
  <si>
    <t>1.10.14</t>
  </si>
  <si>
    <t>31.12.14</t>
  </si>
  <si>
    <t>הפחתה PN</t>
  </si>
  <si>
    <t>30.6.15</t>
  </si>
  <si>
    <t>1.7.15</t>
  </si>
  <si>
    <t>נתון - 31.12.15</t>
  </si>
  <si>
    <t>(המחשב מופחת עד לתאריך 30.8.15)</t>
  </si>
  <si>
    <t>סך הכל:</t>
  </si>
  <si>
    <t>נדרש 3. הרכב חשבון השקעה 31.12.2014</t>
  </si>
  <si>
    <t>חלקי בהון:</t>
  </si>
  <si>
    <t>(450000+800000+120000-90000)*42%=</t>
  </si>
  <si>
    <t>יתרת ע"ע:</t>
  </si>
  <si>
    <t>נדרש 4: פקודות יומן לתאריך 1.4.14 ולתאריך 1.7.15</t>
  </si>
  <si>
    <t>1.4.2014</t>
  </si>
  <si>
    <t>ח' השקעה יאס 28</t>
  </si>
  <si>
    <t>ז' השקעה יאס 39</t>
  </si>
  <si>
    <t>500*40=</t>
  </si>
  <si>
    <t>עיין לעיל נדרש 1ד.</t>
  </si>
  <si>
    <t>ז' מזומן</t>
  </si>
  <si>
    <t>7600*40=</t>
  </si>
  <si>
    <t>+</t>
  </si>
  <si>
    <t>ח' קרן הון</t>
  </si>
  <si>
    <t>(20000-12000)*75%=</t>
  </si>
  <si>
    <t>ז' רווח מני"ע</t>
  </si>
  <si>
    <t>ח' מס נדחה</t>
  </si>
  <si>
    <t>1.7.2015</t>
  </si>
  <si>
    <t>ז' השקעה</t>
  </si>
  <si>
    <t>ח' מזומן</t>
  </si>
  <si>
    <t>ז' רווח הון</t>
  </si>
  <si>
    <t>השקעה של חברת בוקי בחברת גרג</t>
  </si>
  <si>
    <t>הסבר</t>
  </si>
  <si>
    <t>1.1.2014 עלות</t>
  </si>
  <si>
    <t>אקויטי 2014</t>
  </si>
  <si>
    <t>אקויטי 2015 (כולל התאמת מדיניות)</t>
  </si>
  <si>
    <t>31.12.2015</t>
  </si>
  <si>
    <t>השקעה של חברת ארי בחברת גרג</t>
  </si>
  <si>
    <t>1.7.2014 עלות</t>
  </si>
  <si>
    <t>אקויטי 1.7-31.12/2014</t>
  </si>
  <si>
    <t>עסקה פנימית</t>
  </si>
  <si>
    <t>ע.פ.</t>
  </si>
  <si>
    <t>השקעה של חברת ארי בחברת בוקי</t>
  </si>
  <si>
    <t>1.1.2015 עלות</t>
  </si>
  <si>
    <t>הסברים</t>
  </si>
  <si>
    <t>1. חישוב עודף עלות 1.1.2014</t>
  </si>
  <si>
    <t>שווי נרכש</t>
  </si>
  <si>
    <t>ייחוס</t>
  </si>
  <si>
    <t>הפרשה (תלויה)</t>
  </si>
  <si>
    <t>2. שערוך ביום 31.12.2014</t>
  </si>
  <si>
    <t>שווי הוגן</t>
  </si>
  <si>
    <t>עלות מופחתת</t>
  </si>
  <si>
    <t>עליית ערך</t>
  </si>
  <si>
    <t>3. שערוך ביום 31.12.2015</t>
  </si>
  <si>
    <t>כנגד:</t>
  </si>
  <si>
    <t>רווח מתוקן כולל התאמת מדיניות:</t>
  </si>
  <si>
    <t>רווח נתון</t>
  </si>
  <si>
    <t>הפסד הון בגין שערוך</t>
  </si>
  <si>
    <t>4. הפחתת עודף עלות בגין תלויה</t>
  </si>
  <si>
    <t>הפרשה צ"ל</t>
  </si>
  <si>
    <t>הפרשה רשומה</t>
  </si>
  <si>
    <t>י.ס. עודף עלות</t>
  </si>
  <si>
    <t>הפחתת עודף עלות</t>
  </si>
  <si>
    <t>5. חישוב עודף עלות 1.7.2014</t>
  </si>
  <si>
    <t>6. שערוך ביום 31.12.2015</t>
  </si>
  <si>
    <t>7. הפחתת עודף עלות בגין תלויה</t>
  </si>
  <si>
    <t>8. עסקה פנימית</t>
  </si>
  <si>
    <t>מימוש י.פ.</t>
  </si>
  <si>
    <t>דחייה השנה</t>
  </si>
  <si>
    <t>9. טיפול ברכישה</t>
  </si>
  <si>
    <t xml:space="preserve">הון עצמי מתוקן של חברת בוקי ליום 1.1.2015 - </t>
  </si>
  <si>
    <t>חישוב עודף עלות 1.1.2015</t>
  </si>
  <si>
    <t>השקעה בגרג</t>
  </si>
  <si>
    <t>ייחוס פנימי השקעה בגרג</t>
  </si>
  <si>
    <t>10. רווח מתוקן של חברת בוקי לשנת 2015 (לרבות התאמת מדיניות)</t>
  </si>
  <si>
    <t>אקויטי בוקי-גרג</t>
  </si>
  <si>
    <t>הפסד הון שנרשם בספרי בוקי כנגד קרן שערוך</t>
  </si>
  <si>
    <t>מנקודת מבטה של חברת ארי אין קרן שערוך ולכן כל ירידת הערך צריכה להירשם כנגד הפסד</t>
  </si>
  <si>
    <t>11. הפחתת עודף עלות</t>
  </si>
  <si>
    <t>בגין מלאי</t>
  </si>
  <si>
    <t>בגין השקעה בגרג (תלויה)</t>
  </si>
  <si>
    <t xml:space="preserve">הפחתת עו"ע בגין התלויה - </t>
  </si>
  <si>
    <t>הפרשה רשומה (ספרי בוקי)</t>
  </si>
  <si>
    <t>הפחתת עו"ע בגין התלויה</t>
  </si>
  <si>
    <t>התקבל פתרון נוסף-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</si>
</sst>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 * #,##0_ ;_ * \(#,##0\)_ ;_ * &quot;-&quot;_ ;_ @_ "/>
  </numFmts>
  <fonts count="20">
    <font>
      <sz val="10"/>
      <name val="Arial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u/>
      <sz val="11"/>
      <color theme="1"/>
      <name val="Arial"/>
      <family val="2"/>
      <charset val="177"/>
      <scheme val="minor"/>
    </font>
    <font>
      <b/>
      <u/>
      <sz val="11"/>
      <color rgb="FFFF0000"/>
      <name val="Arial"/>
      <family val="2"/>
      <scheme val="minor"/>
    </font>
    <font>
      <u val="singleAccounting"/>
      <sz val="11"/>
      <color theme="1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67">
    <xf numFmtId="0" fontId="0" fillId="0" borderId="0" xfId="0"/>
    <xf numFmtId="0" fontId="5" fillId="0" borderId="0" xfId="0" applyFont="1"/>
    <xf numFmtId="0" fontId="0" fillId="0" borderId="0" xfId="0" quotePrefix="1"/>
    <xf numFmtId="165" fontId="0" fillId="0" borderId="0" xfId="0" applyNumberFormat="1"/>
    <xf numFmtId="165" fontId="5" fillId="0" borderId="0" xfId="0" applyNumberFormat="1" applyFont="1"/>
    <xf numFmtId="0" fontId="6" fillId="0" borderId="0" xfId="0" applyFont="1" applyFill="1"/>
    <xf numFmtId="0" fontId="5" fillId="0" borderId="0" xfId="0" applyFont="1" applyFill="1"/>
    <xf numFmtId="0" fontId="0" fillId="0" borderId="0" xfId="0" applyFill="1"/>
    <xf numFmtId="0" fontId="0" fillId="0" borderId="0" xfId="0" quotePrefix="1" applyFill="1"/>
    <xf numFmtId="165" fontId="0" fillId="0" borderId="0" xfId="0" applyNumberFormat="1" applyFill="1"/>
    <xf numFmtId="165" fontId="5" fillId="0" borderId="0" xfId="0" applyNumberFormat="1" applyFont="1" applyFill="1"/>
    <xf numFmtId="0" fontId="5" fillId="0" borderId="0" xfId="0" applyFont="1" applyFill="1" applyAlignment="1"/>
    <xf numFmtId="0" fontId="5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/>
    <xf numFmtId="0" fontId="3" fillId="0" borderId="0" xfId="1" applyFont="1" applyFill="1"/>
    <xf numFmtId="0" fontId="3" fillId="0" borderId="0" xfId="1" applyFont="1"/>
    <xf numFmtId="165" fontId="0" fillId="0" borderId="1" xfId="0" applyNumberFormat="1" applyFill="1" applyBorder="1"/>
    <xf numFmtId="0" fontId="3" fillId="0" borderId="0" xfId="3" applyFont="1" applyFill="1"/>
    <xf numFmtId="0" fontId="6" fillId="0" borderId="0" xfId="0" applyFont="1" applyFill="1" applyAlignment="1"/>
    <xf numFmtId="0" fontId="8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 applyAlignment="1">
      <alignment wrapText="1"/>
    </xf>
    <xf numFmtId="165" fontId="6" fillId="0" borderId="0" xfId="0" applyNumberFormat="1" applyFont="1" applyFill="1"/>
    <xf numFmtId="0" fontId="6" fillId="0" borderId="0" xfId="0" applyFont="1" applyFill="1" applyAlignment="1">
      <alignment wrapText="1"/>
    </xf>
    <xf numFmtId="0" fontId="5" fillId="0" borderId="0" xfId="1" applyFont="1"/>
    <xf numFmtId="0" fontId="3" fillId="0" borderId="0" xfId="1"/>
    <xf numFmtId="0" fontId="6" fillId="0" borderId="0" xfId="1" applyFont="1"/>
    <xf numFmtId="0" fontId="3" fillId="0" borderId="0" xfId="1" quotePrefix="1"/>
    <xf numFmtId="0" fontId="3" fillId="0" borderId="0" xfId="1" quotePrefix="1" applyFont="1"/>
    <xf numFmtId="165" fontId="3" fillId="0" borderId="0" xfId="1" applyNumberFormat="1"/>
    <xf numFmtId="165" fontId="5" fillId="0" borderId="0" xfId="1" applyNumberFormat="1" applyFont="1"/>
    <xf numFmtId="165" fontId="6" fillId="0" borderId="0" xfId="0" applyNumberFormat="1" applyFont="1" applyFill="1" applyBorder="1"/>
    <xf numFmtId="0" fontId="8" fillId="0" borderId="0" xfId="0" applyFont="1" applyFill="1" applyAlignment="1">
      <alignment horizontal="right" readingOrder="2"/>
    </xf>
    <xf numFmtId="0" fontId="6" fillId="0" borderId="1" xfId="0" applyFont="1" applyFill="1" applyBorder="1" applyAlignment="1"/>
    <xf numFmtId="0" fontId="6" fillId="0" borderId="1" xfId="0" applyFont="1" applyFill="1" applyBorder="1"/>
    <xf numFmtId="165" fontId="6" fillId="0" borderId="1" xfId="0" applyNumberFormat="1" applyFont="1" applyFill="1" applyBorder="1"/>
    <xf numFmtId="17" fontId="6" fillId="0" borderId="0" xfId="0" applyNumberFormat="1" applyFont="1" applyFill="1" applyAlignment="1"/>
    <xf numFmtId="0" fontId="6" fillId="0" borderId="1" xfId="0" quotePrefix="1" applyFont="1" applyFill="1" applyBorder="1"/>
    <xf numFmtId="0" fontId="6" fillId="0" borderId="0" xfId="0" applyFont="1" applyFill="1" applyAlignment="1">
      <alignment horizontal="right" wrapText="1" readingOrder="2"/>
    </xf>
    <xf numFmtId="0" fontId="6" fillId="0" borderId="1" xfId="0" applyFont="1" applyBorder="1" applyAlignment="1">
      <alignment wrapText="1"/>
    </xf>
    <xf numFmtId="165" fontId="0" fillId="0" borderId="1" xfId="0" applyNumberFormat="1" applyBorder="1"/>
    <xf numFmtId="0" fontId="5" fillId="0" borderId="0" xfId="1" applyFont="1" applyFill="1" applyAlignment="1"/>
    <xf numFmtId="0" fontId="3" fillId="0" borderId="0" xfId="1" applyFill="1"/>
    <xf numFmtId="0" fontId="7" fillId="0" borderId="0" xfId="1" applyFont="1" applyFill="1"/>
    <xf numFmtId="165" fontId="3" fillId="0" borderId="0" xfId="1" applyNumberFormat="1" applyFill="1"/>
    <xf numFmtId="0" fontId="3" fillId="0" borderId="1" xfId="1" applyBorder="1"/>
    <xf numFmtId="165" fontId="3" fillId="0" borderId="1" xfId="1" applyNumberFormat="1" applyFill="1" applyBorder="1"/>
    <xf numFmtId="165" fontId="3" fillId="0" borderId="1" xfId="1" applyNumberFormat="1" applyBorder="1"/>
    <xf numFmtId="165" fontId="3" fillId="0" borderId="0" xfId="2" applyNumberFormat="1" applyFill="1"/>
    <xf numFmtId="0" fontId="3" fillId="0" borderId="0" xfId="2" applyFont="1" applyFill="1"/>
    <xf numFmtId="3" fontId="0" fillId="0" borderId="0" xfId="0" applyNumberFormat="1"/>
    <xf numFmtId="0" fontId="7" fillId="0" borderId="0" xfId="1" applyFont="1"/>
    <xf numFmtId="14" fontId="6" fillId="0" borderId="0" xfId="1" quotePrefix="1" applyNumberFormat="1" applyFont="1" applyAlignment="1">
      <alignment horizontal="right" readingOrder="2"/>
    </xf>
    <xf numFmtId="14" fontId="6" fillId="0" borderId="0" xfId="1" applyNumberFormat="1" applyFont="1" applyAlignment="1">
      <alignment horizontal="right" readingOrder="2"/>
    </xf>
    <xf numFmtId="14" fontId="5" fillId="0" borderId="0" xfId="1" applyNumberFormat="1" applyFont="1" applyAlignment="1">
      <alignment horizontal="right" readingOrder="2"/>
    </xf>
    <xf numFmtId="164" fontId="0" fillId="0" borderId="0" xfId="0" applyNumberFormat="1"/>
    <xf numFmtId="165" fontId="5" fillId="0" borderId="0" xfId="0" applyNumberFormat="1" applyFont="1" applyFill="1" applyAlignment="1">
      <alignment horizontal="right"/>
    </xf>
    <xf numFmtId="0" fontId="8" fillId="0" borderId="0" xfId="0" applyFont="1" applyFill="1"/>
    <xf numFmtId="0" fontId="0" fillId="0" borderId="0" xfId="0" applyFill="1" applyAlignment="1">
      <alignment horizontal="right" readingOrder="2"/>
    </xf>
    <xf numFmtId="0" fontId="0" fillId="0" borderId="0" xfId="0" applyFill="1" applyAlignment="1">
      <alignment horizontal="right" wrapText="1" readingOrder="2"/>
    </xf>
    <xf numFmtId="0" fontId="8" fillId="0" borderId="0" xfId="1" applyFont="1"/>
    <xf numFmtId="0" fontId="3" fillId="0" borderId="1" xfId="2" applyFont="1" applyBorder="1" applyAlignment="1">
      <alignment readingOrder="2"/>
    </xf>
    <xf numFmtId="0" fontId="6" fillId="0" borderId="1" xfId="0" applyFont="1" applyBorder="1"/>
    <xf numFmtId="0" fontId="6" fillId="0" borderId="1" xfId="1" applyFont="1" applyBorder="1"/>
    <xf numFmtId="0" fontId="11" fillId="0" borderId="0" xfId="4" applyFont="1" applyBorder="1"/>
    <xf numFmtId="0" fontId="2" fillId="0" borderId="0" xfId="4" applyFont="1"/>
    <xf numFmtId="0" fontId="11" fillId="0" borderId="0" xfId="4" applyFont="1"/>
    <xf numFmtId="0" fontId="10" fillId="0" borderId="0" xfId="4"/>
    <xf numFmtId="0" fontId="2" fillId="0" borderId="0" xfId="4" applyFont="1" applyBorder="1"/>
    <xf numFmtId="9" fontId="2" fillId="0" borderId="0" xfId="4" applyNumberFormat="1" applyFont="1" applyBorder="1"/>
    <xf numFmtId="0" fontId="2" fillId="0" borderId="0" xfId="4" applyFont="1" applyFill="1" applyBorder="1"/>
    <xf numFmtId="0" fontId="11" fillId="0" borderId="0" xfId="4" applyFont="1" applyFill="1" applyBorder="1"/>
    <xf numFmtId="3" fontId="2" fillId="0" borderId="0" xfId="4" applyNumberFormat="1" applyFont="1"/>
    <xf numFmtId="0" fontId="2" fillId="0" borderId="0" xfId="4" applyFont="1" applyAlignment="1">
      <alignment horizontal="right"/>
    </xf>
    <xf numFmtId="0" fontId="9" fillId="0" borderId="0" xfId="4" applyFont="1" applyFill="1" applyBorder="1"/>
    <xf numFmtId="0" fontId="2" fillId="0" borderId="1" xfId="4" applyFont="1" applyBorder="1"/>
    <xf numFmtId="3" fontId="2" fillId="0" borderId="1" xfId="4" applyNumberFormat="1" applyFont="1" applyBorder="1"/>
    <xf numFmtId="0" fontId="9" fillId="0" borderId="0" xfId="4" applyFont="1" applyAlignment="1">
      <alignment horizontal="right"/>
    </xf>
    <xf numFmtId="3" fontId="9" fillId="0" borderId="0" xfId="4" applyNumberFormat="1" applyFont="1"/>
    <xf numFmtId="0" fontId="9" fillId="0" borderId="0" xfId="4" applyFont="1"/>
    <xf numFmtId="0" fontId="12" fillId="0" borderId="0" xfId="4" applyFont="1"/>
    <xf numFmtId="3" fontId="2" fillId="0" borderId="0" xfId="4" applyNumberFormat="1" applyFont="1" applyAlignment="1">
      <alignment horizontal="right"/>
    </xf>
    <xf numFmtId="0" fontId="9" fillId="0" borderId="1" xfId="4" applyFont="1" applyBorder="1"/>
    <xf numFmtId="0" fontId="11" fillId="0" borderId="0" xfId="4" applyFont="1" applyAlignment="1">
      <alignment horizontal="right"/>
    </xf>
    <xf numFmtId="3" fontId="11" fillId="0" borderId="0" xfId="4" applyNumberFormat="1" applyFont="1"/>
    <xf numFmtId="3" fontId="10" fillId="0" borderId="0" xfId="4" applyNumberFormat="1"/>
    <xf numFmtId="0" fontId="12" fillId="0" borderId="0" xfId="4" applyFont="1" applyAlignment="1">
      <alignment horizontal="right"/>
    </xf>
    <xf numFmtId="3" fontId="12" fillId="0" borderId="0" xfId="4" applyNumberFormat="1" applyFont="1" applyAlignment="1">
      <alignment horizontal="right"/>
    </xf>
    <xf numFmtId="3" fontId="2" fillId="0" borderId="0" xfId="4" applyNumberFormat="1" applyFont="1" applyBorder="1"/>
    <xf numFmtId="3" fontId="9" fillId="0" borderId="0" xfId="4" applyNumberFormat="1" applyFont="1" applyAlignment="1">
      <alignment horizontal="right"/>
    </xf>
    <xf numFmtId="3" fontId="10" fillId="0" borderId="1" xfId="4" applyNumberFormat="1" applyBorder="1"/>
    <xf numFmtId="0" fontId="10" fillId="0" borderId="0" xfId="4" applyFont="1"/>
    <xf numFmtId="1" fontId="13" fillId="0" borderId="0" xfId="1" applyNumberFormat="1" applyFont="1" applyFill="1" applyBorder="1" applyAlignment="1">
      <alignment horizontal="left"/>
    </xf>
    <xf numFmtId="1" fontId="14" fillId="2" borderId="0" xfId="1" applyNumberFormat="1" applyFont="1" applyFill="1" applyBorder="1"/>
    <xf numFmtId="1" fontId="13" fillId="0" borderId="0" xfId="1" applyNumberFormat="1" applyFont="1" applyFill="1" applyBorder="1" applyAlignment="1">
      <alignment horizontal="center"/>
    </xf>
    <xf numFmtId="1" fontId="15" fillId="0" borderId="0" xfId="1" applyNumberFormat="1" applyFont="1" applyFill="1" applyBorder="1"/>
    <xf numFmtId="3" fontId="15" fillId="0" borderId="0" xfId="1" applyNumberFormat="1" applyFont="1" applyFill="1" applyBorder="1"/>
    <xf numFmtId="3" fontId="10" fillId="0" borderId="0" xfId="4" applyNumberFormat="1" applyFont="1"/>
    <xf numFmtId="3" fontId="15" fillId="0" borderId="1" xfId="1" applyNumberFormat="1" applyFont="1" applyFill="1" applyBorder="1"/>
    <xf numFmtId="0" fontId="10" fillId="0" borderId="0" xfId="4" applyFont="1" applyAlignment="1">
      <alignment horizontal="left"/>
    </xf>
    <xf numFmtId="1" fontId="16" fillId="0" borderId="0" xfId="1" applyNumberFormat="1" applyFont="1" applyFill="1" applyBorder="1"/>
    <xf numFmtId="3" fontId="14" fillId="0" borderId="0" xfId="1" applyNumberFormat="1" applyFont="1" applyFill="1" applyBorder="1"/>
    <xf numFmtId="3" fontId="11" fillId="0" borderId="0" xfId="4" applyNumberFormat="1" applyFont="1" applyAlignment="1">
      <alignment horizontal="right"/>
    </xf>
    <xf numFmtId="3" fontId="17" fillId="0" borderId="0" xfId="4" applyNumberFormat="1" applyFont="1"/>
    <xf numFmtId="3" fontId="13" fillId="0" borderId="0" xfId="1" applyNumberFormat="1" applyFont="1" applyFill="1" applyBorder="1"/>
    <xf numFmtId="1" fontId="10" fillId="0" borderId="0" xfId="4" applyNumberFormat="1" applyFont="1"/>
    <xf numFmtId="1" fontId="14" fillId="0" borderId="0" xfId="1" applyNumberFormat="1" applyFont="1" applyFill="1" applyBorder="1"/>
    <xf numFmtId="0" fontId="17" fillId="0" borderId="0" xfId="4" applyFont="1"/>
    <xf numFmtId="1" fontId="13" fillId="0" borderId="0" xfId="1" applyNumberFormat="1" applyFont="1" applyFill="1" applyBorder="1"/>
    <xf numFmtId="0" fontId="9" fillId="0" borderId="0" xfId="4" applyFont="1" applyAlignment="1">
      <alignment horizontal="left"/>
    </xf>
    <xf numFmtId="0" fontId="11" fillId="2" borderId="0" xfId="4" applyFont="1" applyFill="1"/>
    <xf numFmtId="0" fontId="11" fillId="0" borderId="0" xfId="4" quotePrefix="1" applyFont="1"/>
    <xf numFmtId="0" fontId="10" fillId="0" borderId="0" xfId="4" applyFont="1" applyAlignment="1">
      <alignment horizontal="right"/>
    </xf>
    <xf numFmtId="3" fontId="16" fillId="0" borderId="0" xfId="1" applyNumberFormat="1" applyFont="1" applyFill="1" applyBorder="1"/>
    <xf numFmtId="0" fontId="10" fillId="0" borderId="1" xfId="4" applyFont="1" applyBorder="1"/>
    <xf numFmtId="0" fontId="10" fillId="0" borderId="0" xfId="4" applyFont="1" applyAlignment="1">
      <alignment wrapText="1"/>
    </xf>
    <xf numFmtId="0" fontId="10" fillId="0" borderId="0" xfId="4" applyFont="1" applyAlignment="1">
      <alignment vertical="center" wrapText="1"/>
    </xf>
    <xf numFmtId="0" fontId="11" fillId="2" borderId="0" xfId="4" applyFont="1" applyFill="1" applyAlignment="1">
      <alignment horizontal="right"/>
    </xf>
    <xf numFmtId="0" fontId="11" fillId="0" borderId="0" xfId="4" applyFont="1" applyAlignment="1">
      <alignment horizontal="right" wrapText="1"/>
    </xf>
    <xf numFmtId="3" fontId="10" fillId="0" borderId="1" xfId="4" applyNumberFormat="1" applyFont="1" applyBorder="1"/>
    <xf numFmtId="3" fontId="10" fillId="0" borderId="0" xfId="4" applyNumberFormat="1" applyFont="1" applyBorder="1"/>
    <xf numFmtId="9" fontId="10" fillId="0" borderId="0" xfId="4" applyNumberFormat="1" applyFont="1"/>
    <xf numFmtId="1" fontId="14" fillId="0" borderId="0" xfId="1" applyNumberFormat="1" applyFont="1" applyFill="1" applyBorder="1" applyAlignment="1">
      <alignment horizontal="right"/>
    </xf>
    <xf numFmtId="1" fontId="15" fillId="0" borderId="0" xfId="1" applyNumberFormat="1" applyFont="1" applyFill="1" applyBorder="1" applyAlignment="1">
      <alignment horizontal="right"/>
    </xf>
    <xf numFmtId="3" fontId="12" fillId="0" borderId="1" xfId="4" applyNumberFormat="1" applyFont="1" applyBorder="1"/>
    <xf numFmtId="1" fontId="13" fillId="0" borderId="0" xfId="1" applyNumberFormat="1" applyFont="1" applyFill="1" applyBorder="1" applyAlignment="1">
      <alignment horizontal="right"/>
    </xf>
    <xf numFmtId="3" fontId="9" fillId="0" borderId="0" xfId="4" applyNumberFormat="1" applyFont="1" applyBorder="1"/>
    <xf numFmtId="0" fontId="9" fillId="0" borderId="0" xfId="4" applyFont="1" applyBorder="1"/>
    <xf numFmtId="166" fontId="10" fillId="0" borderId="0" xfId="4" applyNumberFormat="1"/>
    <xf numFmtId="3" fontId="18" fillId="0" borderId="0" xfId="4" applyNumberFormat="1" applyFont="1"/>
    <xf numFmtId="10" fontId="9" fillId="0" borderId="0" xfId="4" applyNumberFormat="1" applyFont="1"/>
    <xf numFmtId="10" fontId="2" fillId="0" borderId="0" xfId="4" applyNumberFormat="1" applyFont="1"/>
    <xf numFmtId="3" fontId="10" fillId="0" borderId="0" xfId="4" applyNumberFormat="1" applyAlignment="1">
      <alignment horizontal="center"/>
    </xf>
    <xf numFmtId="3" fontId="17" fillId="0" borderId="2" xfId="4" applyNumberFormat="1" applyFont="1" applyBorder="1"/>
    <xf numFmtId="3" fontId="10" fillId="0" borderId="3" xfId="4" applyNumberFormat="1" applyBorder="1" applyAlignment="1">
      <alignment horizontal="right"/>
    </xf>
    <xf numFmtId="3" fontId="10" fillId="0" borderId="0" xfId="4" applyNumberFormat="1" applyAlignment="1">
      <alignment horizontal="left"/>
    </xf>
    <xf numFmtId="3" fontId="9" fillId="0" borderId="4" xfId="4" applyNumberFormat="1" applyFont="1" applyBorder="1"/>
    <xf numFmtId="3" fontId="10" fillId="0" borderId="0" xfId="4" applyNumberFormat="1" applyAlignment="1">
      <alignment horizontal="right"/>
    </xf>
    <xf numFmtId="3" fontId="17" fillId="0" borderId="5" xfId="4" applyNumberFormat="1" applyFont="1" applyBorder="1"/>
    <xf numFmtId="3" fontId="17" fillId="0" borderId="0" xfId="4" applyNumberFormat="1" applyFont="1" applyAlignment="1">
      <alignment horizontal="right"/>
    </xf>
    <xf numFmtId="3" fontId="10" fillId="0" borderId="5" xfId="4" applyNumberFormat="1" applyBorder="1"/>
    <xf numFmtId="3" fontId="10" fillId="0" borderId="5" xfId="4" applyNumberFormat="1" applyBorder="1" applyAlignment="1">
      <alignment horizontal="right"/>
    </xf>
    <xf numFmtId="4" fontId="10" fillId="0" borderId="0" xfId="4" applyNumberFormat="1"/>
    <xf numFmtId="3" fontId="9" fillId="3" borderId="0" xfId="4" applyNumberFormat="1" applyFont="1" applyFill="1"/>
    <xf numFmtId="3" fontId="10" fillId="3" borderId="0" xfId="4" applyNumberFormat="1" applyFill="1"/>
    <xf numFmtId="3" fontId="9" fillId="4" borderId="0" xfId="4" applyNumberFormat="1" applyFont="1" applyFill="1"/>
    <xf numFmtId="3" fontId="10" fillId="4" borderId="0" xfId="4" applyNumberFormat="1" applyFill="1"/>
    <xf numFmtId="3" fontId="11" fillId="0" borderId="0" xfId="4" applyNumberFormat="1" applyFont="1" applyAlignment="1">
      <alignment horizontal="center"/>
    </xf>
    <xf numFmtId="3" fontId="11" fillId="0" borderId="0" xfId="4" applyNumberFormat="1" applyFont="1" applyBorder="1" applyAlignment="1">
      <alignment horizontal="center"/>
    </xf>
    <xf numFmtId="3" fontId="10" fillId="0" borderId="0" xfId="4" applyNumberFormat="1" applyBorder="1"/>
    <xf numFmtId="3" fontId="17" fillId="0" borderId="0" xfId="4" applyNumberFormat="1" applyFont="1" applyBorder="1"/>
    <xf numFmtId="3" fontId="9" fillId="0" borderId="0" xfId="4" applyNumberFormat="1" applyFont="1" applyAlignment="1">
      <alignment horizontal="left"/>
    </xf>
    <xf numFmtId="3" fontId="10" fillId="0" borderId="4" xfId="4" applyNumberFormat="1" applyBorder="1"/>
    <xf numFmtId="0" fontId="17" fillId="0" borderId="0" xfId="4" applyFont="1" applyAlignment="1">
      <alignment horizontal="center"/>
    </xf>
    <xf numFmtId="0" fontId="10" fillId="0" borderId="0" xfId="4" applyAlignment="1">
      <alignment horizontal="right" readingOrder="2"/>
    </xf>
    <xf numFmtId="167" fontId="10" fillId="0" borderId="0" xfId="4" applyNumberFormat="1"/>
    <xf numFmtId="167" fontId="19" fillId="0" borderId="0" xfId="4" applyNumberFormat="1" applyFont="1"/>
    <xf numFmtId="0" fontId="17" fillId="0" borderId="0" xfId="4" applyFont="1" applyAlignment="1">
      <alignment horizontal="right" readingOrder="2"/>
    </xf>
    <xf numFmtId="0" fontId="10" fillId="0" borderId="0" xfId="4" applyFont="1" applyAlignment="1">
      <alignment horizontal="right" readingOrder="2"/>
    </xf>
    <xf numFmtId="0" fontId="1" fillId="2" borderId="0" xfId="4" applyFont="1" applyFill="1"/>
    <xf numFmtId="0" fontId="10" fillId="2" borderId="0" xfId="4" applyFill="1"/>
    <xf numFmtId="0" fontId="11" fillId="0" borderId="0" xfId="4" applyFont="1" applyAlignment="1">
      <alignment horizontal="right" readingOrder="2"/>
    </xf>
    <xf numFmtId="0" fontId="9" fillId="0" borderId="0" xfId="4" applyFont="1" applyAlignment="1">
      <alignment horizontal="right"/>
    </xf>
    <xf numFmtId="0" fontId="11" fillId="0" borderId="0" xfId="4" applyFont="1" applyAlignment="1">
      <alignment horizontal="center"/>
    </xf>
    <xf numFmtId="0" fontId="2" fillId="0" borderId="0" xfId="4" applyFont="1" applyAlignment="1">
      <alignment horizontal="right"/>
    </xf>
    <xf numFmtId="0" fontId="2" fillId="0" borderId="0" xfId="4" applyFont="1" applyAlignment="1">
      <alignment horizontal="right" vertical="center" wrapText="1"/>
    </xf>
  </cellXfs>
  <cellStyles count="8">
    <cellStyle name="Comma 2" xfId="5"/>
    <cellStyle name="Comma 2 2" xfId="6"/>
    <cellStyle name="Normal" xfId="0" builtinId="0"/>
    <cellStyle name="Normal 2" xfId="1"/>
    <cellStyle name="Normal 2 2" xfId="2"/>
    <cellStyle name="Normal 2_מועד_ג_תשעא_יאס12" xfId="3"/>
    <cellStyle name="Normal 3" xfId="4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141</xdr:row>
      <xdr:rowOff>171450</xdr:rowOff>
    </xdr:from>
    <xdr:to>
      <xdr:col>4</xdr:col>
      <xdr:colOff>28575</xdr:colOff>
      <xdr:row>151</xdr:row>
      <xdr:rowOff>38100</xdr:rowOff>
    </xdr:to>
    <xdr:cxnSp macro="">
      <xdr:nvCxnSpPr>
        <xdr:cNvPr id="2" name="מחבר חץ ישר 1"/>
        <xdr:cNvCxnSpPr/>
      </xdr:nvCxnSpPr>
      <xdr:spPr>
        <a:xfrm flipH="1" flipV="1">
          <a:off x="11233432575" y="26193750"/>
          <a:ext cx="476250" cy="16954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723900</xdr:colOff>
      <xdr:row>160</xdr:row>
      <xdr:rowOff>47625</xdr:rowOff>
    </xdr:from>
    <xdr:to>
      <xdr:col>2</xdr:col>
      <xdr:colOff>36194</xdr:colOff>
      <xdr:row>163</xdr:row>
      <xdr:rowOff>0</xdr:rowOff>
    </xdr:to>
    <xdr:sp macro="" textlink="">
      <xdr:nvSpPr>
        <xdr:cNvPr id="3" name="סוגר מרובע ימני 2"/>
        <xdr:cNvSpPr/>
      </xdr:nvSpPr>
      <xdr:spPr>
        <a:xfrm>
          <a:off x="11234882281" y="29594175"/>
          <a:ext cx="45719" cy="50482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1" anchor="ctr"/>
        <a:lstStyle/>
        <a:p>
          <a:pPr algn="r" rtl="1"/>
          <a:endParaRPr lang="he-IL" sz="1100"/>
        </a:p>
      </xdr:txBody>
    </xdr:sp>
    <xdr:clientData/>
  </xdr:twoCellAnchor>
  <xdr:twoCellAnchor>
    <xdr:from>
      <xdr:col>1</xdr:col>
      <xdr:colOff>704851</xdr:colOff>
      <xdr:row>164</xdr:row>
      <xdr:rowOff>1</xdr:rowOff>
    </xdr:from>
    <xdr:to>
      <xdr:col>2</xdr:col>
      <xdr:colOff>57151</xdr:colOff>
      <xdr:row>167</xdr:row>
      <xdr:rowOff>0</xdr:rowOff>
    </xdr:to>
    <xdr:sp macro="" textlink="">
      <xdr:nvSpPr>
        <xdr:cNvPr id="4" name="סוגר מרובע ימני 3"/>
        <xdr:cNvSpPr/>
      </xdr:nvSpPr>
      <xdr:spPr>
        <a:xfrm>
          <a:off x="11234861324" y="30279976"/>
          <a:ext cx="85725" cy="542924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1" anchor="ctr"/>
        <a:lstStyle/>
        <a:p>
          <a:pPr algn="r" rtl="1"/>
          <a:endParaRPr lang="he-IL" sz="1100"/>
        </a:p>
      </xdr:txBody>
    </xdr:sp>
    <xdr:clientData/>
  </xdr:twoCellAnchor>
  <xdr:twoCellAnchor>
    <xdr:from>
      <xdr:col>2</xdr:col>
      <xdr:colOff>9525</xdr:colOff>
      <xdr:row>168</xdr:row>
      <xdr:rowOff>0</xdr:rowOff>
    </xdr:from>
    <xdr:to>
      <xdr:col>2</xdr:col>
      <xdr:colOff>55244</xdr:colOff>
      <xdr:row>170</xdr:row>
      <xdr:rowOff>142875</xdr:rowOff>
    </xdr:to>
    <xdr:sp macro="" textlink="">
      <xdr:nvSpPr>
        <xdr:cNvPr id="5" name="סוגר מרובע ימני 4"/>
        <xdr:cNvSpPr/>
      </xdr:nvSpPr>
      <xdr:spPr>
        <a:xfrm>
          <a:off x="11234863231" y="31003875"/>
          <a:ext cx="45719" cy="52387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1" anchor="ctr"/>
        <a:lstStyle/>
        <a:p>
          <a:pPr algn="r" rtl="1"/>
          <a:endParaRPr lang="he-IL" sz="1100"/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6"/>
  <sheetViews>
    <sheetView rightToLeft="1" tabSelected="1" zoomScaleNormal="100" workbookViewId="0">
      <selection activeCell="A19" sqref="A19"/>
    </sheetView>
  </sheetViews>
  <sheetFormatPr defaultRowHeight="12.75"/>
  <cols>
    <col min="1" max="1" width="62.85546875" customWidth="1"/>
    <col min="2" max="2" width="16" bestFit="1" customWidth="1"/>
    <col min="3" max="3" width="16.7109375" bestFit="1" customWidth="1"/>
    <col min="4" max="4" width="17.42578125" bestFit="1" customWidth="1"/>
    <col min="5" max="5" width="10.28515625" bestFit="1" customWidth="1"/>
    <col min="6" max="6" width="10.85546875" bestFit="1" customWidth="1"/>
    <col min="7" max="7" width="10.140625" customWidth="1"/>
    <col min="8" max="8" width="9.28515625" bestFit="1" customWidth="1"/>
    <col min="9" max="9" width="6.7109375" customWidth="1"/>
  </cols>
  <sheetData>
    <row r="1" spans="1:7">
      <c r="A1" s="1" t="s">
        <v>30</v>
      </c>
    </row>
    <row r="2" spans="1:7">
      <c r="A2" s="1" t="s">
        <v>0</v>
      </c>
    </row>
    <row r="3" spans="1:7">
      <c r="A3" s="1"/>
    </row>
    <row r="4" spans="1:7">
      <c r="A4" s="1" t="s">
        <v>31</v>
      </c>
    </row>
    <row r="6" spans="1:7" s="7" customFormat="1">
      <c r="A6" s="7" t="s">
        <v>1</v>
      </c>
      <c r="B6" s="9">
        <v>800000</v>
      </c>
    </row>
    <row r="7" spans="1:7" s="7" customFormat="1">
      <c r="A7" s="6" t="s">
        <v>2</v>
      </c>
      <c r="B7" s="9"/>
    </row>
    <row r="8" spans="1:7" s="7" customFormat="1">
      <c r="A8" s="15" t="s">
        <v>66</v>
      </c>
      <c r="B8" s="9">
        <v>4000</v>
      </c>
      <c r="C8" s="7" t="s">
        <v>17</v>
      </c>
      <c r="G8" s="8"/>
    </row>
    <row r="9" spans="1:7" s="7" customFormat="1">
      <c r="A9" s="5" t="s">
        <v>63</v>
      </c>
      <c r="B9" s="9">
        <f>+B102</f>
        <v>27500</v>
      </c>
      <c r="G9" s="8"/>
    </row>
    <row r="10" spans="1:7" s="7" customFormat="1">
      <c r="A10" s="5" t="s">
        <v>113</v>
      </c>
      <c r="B10" s="9">
        <f>50000*0.5/5</f>
        <v>5000</v>
      </c>
      <c r="C10" s="7" t="s">
        <v>17</v>
      </c>
      <c r="G10" s="7" t="s">
        <v>117</v>
      </c>
    </row>
    <row r="11" spans="1:7" s="7" customFormat="1">
      <c r="A11" s="15" t="s">
        <v>138</v>
      </c>
      <c r="B11" s="9">
        <f>+B154</f>
        <v>2500</v>
      </c>
      <c r="C11" s="7" t="s">
        <v>17</v>
      </c>
      <c r="G11" t="s">
        <v>144</v>
      </c>
    </row>
    <row r="12" spans="1:7" s="7" customFormat="1">
      <c r="A12" s="27" t="s">
        <v>157</v>
      </c>
      <c r="B12" s="9">
        <f>+B160</f>
        <v>100000</v>
      </c>
      <c r="C12" s="7" t="s">
        <v>17</v>
      </c>
      <c r="G12" s="8" t="s">
        <v>148</v>
      </c>
    </row>
    <row r="13" spans="1:7" s="7" customFormat="1">
      <c r="A13" s="27" t="s">
        <v>159</v>
      </c>
      <c r="B13" s="9">
        <v>5000</v>
      </c>
      <c r="G13" s="8"/>
    </row>
    <row r="14" spans="1:7" s="7" customFormat="1">
      <c r="A14" s="18" t="s">
        <v>160</v>
      </c>
      <c r="B14" s="9">
        <v>7000</v>
      </c>
      <c r="G14" s="8"/>
    </row>
    <row r="15" spans="1:7" s="7" customFormat="1">
      <c r="A15" s="5"/>
      <c r="B15" s="10">
        <f>SUM(B8:B14)</f>
        <v>151000</v>
      </c>
    </row>
    <row r="16" spans="1:7" s="7" customFormat="1">
      <c r="A16" s="5"/>
    </row>
    <row r="17" spans="1:7" s="7" customFormat="1">
      <c r="A17" s="6" t="s">
        <v>3</v>
      </c>
      <c r="B17" s="9"/>
    </row>
    <row r="18" spans="1:7" s="7" customFormat="1">
      <c r="A18" s="5" t="s">
        <v>67</v>
      </c>
      <c r="B18" s="9">
        <f>+B100</f>
        <v>15139.733333333334</v>
      </c>
    </row>
    <row r="19" spans="1:7" s="7" customFormat="1">
      <c r="A19" s="5" t="s">
        <v>68</v>
      </c>
      <c r="B19" s="9">
        <f>+B101</f>
        <v>23465.066666666666</v>
      </c>
    </row>
    <row r="20" spans="1:7" s="7" customFormat="1">
      <c r="A20" s="15" t="s">
        <v>114</v>
      </c>
      <c r="B20" s="45">
        <v>1000</v>
      </c>
      <c r="C20" s="15" t="s">
        <v>17</v>
      </c>
      <c r="D20" s="15" t="s">
        <v>85</v>
      </c>
      <c r="E20" s="43"/>
      <c r="F20" s="43"/>
      <c r="G20" s="15" t="s">
        <v>86</v>
      </c>
    </row>
    <row r="21" spans="1:7" s="7" customFormat="1">
      <c r="A21" s="5" t="s">
        <v>115</v>
      </c>
      <c r="B21" s="9">
        <f>50000*2.5/15</f>
        <v>8333.3333333333339</v>
      </c>
      <c r="C21" s="7" t="s">
        <v>17</v>
      </c>
      <c r="G21" s="8" t="s">
        <v>116</v>
      </c>
    </row>
    <row r="22" spans="1:7" s="7" customFormat="1">
      <c r="A22" s="5" t="s">
        <v>139</v>
      </c>
      <c r="B22" s="9">
        <f>+B153</f>
        <v>30000</v>
      </c>
      <c r="C22" s="7" t="s">
        <v>17</v>
      </c>
      <c r="G22" s="8"/>
    </row>
    <row r="23" spans="1:7" s="7" customFormat="1">
      <c r="A23" s="18" t="s">
        <v>158</v>
      </c>
      <c r="B23" s="9">
        <v>20000</v>
      </c>
      <c r="C23" s="7" t="s">
        <v>17</v>
      </c>
      <c r="G23" s="8"/>
    </row>
    <row r="24" spans="1:7" s="7" customFormat="1">
      <c r="B24" s="10">
        <f>SUM(B18:B23)</f>
        <v>97938.133333333331</v>
      </c>
    </row>
    <row r="25" spans="1:7" s="7" customFormat="1">
      <c r="B25" s="9"/>
    </row>
    <row r="26" spans="1:7">
      <c r="A26" s="1" t="s">
        <v>10</v>
      </c>
      <c r="B26" s="4">
        <f>+B6+B15-B24</f>
        <v>853061.8666666667</v>
      </c>
    </row>
    <row r="27" spans="1:7">
      <c r="B27" s="3"/>
    </row>
    <row r="28" spans="1:7">
      <c r="A28" s="1" t="s">
        <v>11</v>
      </c>
      <c r="B28" s="3"/>
    </row>
    <row r="29" spans="1:7">
      <c r="A29" t="s">
        <v>12</v>
      </c>
      <c r="B29" s="3">
        <f>+B26*0.25</f>
        <v>213265.46666666667</v>
      </c>
      <c r="G29" s="2" t="s">
        <v>161</v>
      </c>
    </row>
    <row r="30" spans="1:7">
      <c r="A30" s="40" t="s">
        <v>69</v>
      </c>
      <c r="B30" s="41">
        <f>27500*-0.05</f>
        <v>-1375</v>
      </c>
      <c r="G30" s="2" t="s">
        <v>70</v>
      </c>
    </row>
    <row r="31" spans="1:7">
      <c r="A31" t="s">
        <v>11</v>
      </c>
      <c r="B31" s="4">
        <f>SUM(B29:B30)</f>
        <v>211890.46666666667</v>
      </c>
      <c r="E31" s="2"/>
    </row>
    <row r="34" spans="1:7">
      <c r="A34" s="1"/>
      <c r="B34" s="4"/>
    </row>
    <row r="35" spans="1:7">
      <c r="A35" s="6" t="s">
        <v>4</v>
      </c>
      <c r="B35" s="7"/>
      <c r="C35" s="7"/>
      <c r="D35" s="7"/>
      <c r="E35" s="7"/>
    </row>
    <row r="36" spans="1:7">
      <c r="A36" s="7"/>
      <c r="B36" s="12" t="s">
        <v>25</v>
      </c>
      <c r="C36" s="13" t="s">
        <v>5</v>
      </c>
      <c r="D36" s="13" t="s">
        <v>22</v>
      </c>
      <c r="E36" s="12" t="s">
        <v>72</v>
      </c>
    </row>
    <row r="37" spans="1:7">
      <c r="A37" s="7" t="s">
        <v>71</v>
      </c>
      <c r="B37" s="9">
        <f>+B84</f>
        <v>-1000</v>
      </c>
      <c r="C37" s="9">
        <f>+E37-B37</f>
        <v>1000</v>
      </c>
      <c r="D37" s="9"/>
      <c r="E37" s="9">
        <f>+B85</f>
        <v>0</v>
      </c>
    </row>
    <row r="38" spans="1:7">
      <c r="A38" s="7" t="s">
        <v>87</v>
      </c>
      <c r="B38" s="9">
        <f>+B109</f>
        <v>-600</v>
      </c>
      <c r="C38" s="9">
        <f>+E38-B38</f>
        <v>-200</v>
      </c>
      <c r="D38" s="9"/>
      <c r="E38" s="9">
        <f>+B113</f>
        <v>-800</v>
      </c>
    </row>
    <row r="39" spans="1:7">
      <c r="A39" s="7" t="s">
        <v>112</v>
      </c>
      <c r="B39" s="9">
        <v>0</v>
      </c>
      <c r="C39" s="9">
        <f>+B130</f>
        <v>-1000.0000000000007</v>
      </c>
      <c r="D39" s="9">
        <f>+B131</f>
        <v>-4433.333333333333</v>
      </c>
      <c r="E39" s="9">
        <f>+B132</f>
        <v>-5433.3333333333339</v>
      </c>
    </row>
    <row r="40" spans="1:7">
      <c r="A40" s="7" t="s">
        <v>142</v>
      </c>
      <c r="B40" s="9">
        <v>0</v>
      </c>
      <c r="C40" s="9">
        <f>+B149</f>
        <v>-8050</v>
      </c>
      <c r="D40" s="9">
        <f>+B150</f>
        <v>-9513.636363636364</v>
      </c>
      <c r="E40" s="9">
        <f>+B146</f>
        <v>-17563.636363636364</v>
      </c>
    </row>
    <row r="41" spans="1:7">
      <c r="A41" s="62" t="s">
        <v>143</v>
      </c>
      <c r="B41" s="17">
        <f>+B163</f>
        <v>18750</v>
      </c>
      <c r="C41" s="17">
        <f>+E41-B41</f>
        <v>24650.000000000007</v>
      </c>
      <c r="D41" s="17"/>
      <c r="E41" s="17">
        <f>+B164</f>
        <v>43400.000000000007</v>
      </c>
    </row>
    <row r="42" spans="1:7">
      <c r="A42" s="6" t="s">
        <v>13</v>
      </c>
      <c r="B42" s="10">
        <f>+SUM(B37:B41)</f>
        <v>17150</v>
      </c>
      <c r="C42" s="10">
        <f>+SUM(C37:C41)</f>
        <v>16400.000000000007</v>
      </c>
      <c r="D42" s="10">
        <f>+SUM(D37:D41)</f>
        <v>-13946.969696969696</v>
      </c>
      <c r="E42" s="10">
        <f>+SUM(E37:E41)</f>
        <v>19603.030303030311</v>
      </c>
    </row>
    <row r="43" spans="1:7">
      <c r="A43" s="7"/>
      <c r="B43" s="7"/>
      <c r="C43" s="7"/>
      <c r="D43" s="7"/>
      <c r="E43" s="7"/>
    </row>
    <row r="44" spans="1:7">
      <c r="A44" s="1" t="s">
        <v>15</v>
      </c>
    </row>
    <row r="45" spans="1:7">
      <c r="A45" s="25" t="s">
        <v>26</v>
      </c>
      <c r="B45" s="26"/>
      <c r="C45" s="26"/>
      <c r="D45" s="30"/>
      <c r="E45" s="26"/>
      <c r="F45" s="26"/>
      <c r="G45" s="57"/>
    </row>
    <row r="46" spans="1:7">
      <c r="A46" s="26" t="s">
        <v>27</v>
      </c>
      <c r="B46" s="26"/>
      <c r="C46" s="26"/>
      <c r="D46" s="30">
        <f>+B31</f>
        <v>211890.46666666667</v>
      </c>
      <c r="E46" s="26"/>
      <c r="F46" s="26"/>
    </row>
    <row r="47" spans="1:7">
      <c r="A47" s="25" t="s">
        <v>28</v>
      </c>
      <c r="B47" s="25"/>
      <c r="C47" s="25"/>
      <c r="D47" s="31">
        <f>+D46</f>
        <v>211890.46666666667</v>
      </c>
      <c r="E47" s="26"/>
      <c r="F47" s="26"/>
    </row>
    <row r="48" spans="1:7">
      <c r="A48" s="1"/>
      <c r="D48" s="3"/>
      <c r="G48" s="16"/>
    </row>
    <row r="49" spans="1:7">
      <c r="A49" s="1" t="s">
        <v>118</v>
      </c>
      <c r="D49" s="3"/>
      <c r="G49" s="16"/>
    </row>
    <row r="50" spans="1:7">
      <c r="A50" t="s">
        <v>29</v>
      </c>
      <c r="D50" s="9">
        <f>(SUM(B21:B23)-SUM(B8,B10:B12))*0.25+B20*0.2</f>
        <v>-13091.666666666666</v>
      </c>
      <c r="G50" s="16"/>
    </row>
    <row r="51" spans="1:7">
      <c r="A51" t="s">
        <v>16</v>
      </c>
      <c r="D51" s="9">
        <f>+D52-D50</f>
        <v>-3308.3333333333412</v>
      </c>
      <c r="G51" s="16"/>
    </row>
    <row r="52" spans="1:7">
      <c r="A52" s="1" t="s">
        <v>119</v>
      </c>
      <c r="B52" s="1"/>
      <c r="C52" s="1"/>
      <c r="D52" s="10">
        <f>-C42</f>
        <v>-16400.000000000007</v>
      </c>
      <c r="E52" s="3"/>
    </row>
    <row r="53" spans="1:7">
      <c r="A53" s="1" t="s">
        <v>21</v>
      </c>
      <c r="D53" s="10">
        <f>+D52+D47</f>
        <v>195490.46666666667</v>
      </c>
      <c r="E53" s="3"/>
    </row>
    <row r="54" spans="1:7">
      <c r="A54" s="1"/>
      <c r="D54" s="10"/>
      <c r="E54" s="3"/>
    </row>
    <row r="55" spans="1:7">
      <c r="A55" s="1" t="s">
        <v>18</v>
      </c>
      <c r="D55" s="10"/>
      <c r="E55" s="3"/>
    </row>
    <row r="56" spans="1:7">
      <c r="A56" s="6" t="s">
        <v>19</v>
      </c>
      <c r="B56" s="10">
        <f>800000*0.25</f>
        <v>200000</v>
      </c>
      <c r="D56" s="10"/>
      <c r="E56" s="3"/>
    </row>
    <row r="57" spans="1:7">
      <c r="A57" s="14" t="s">
        <v>165</v>
      </c>
      <c r="B57" s="9">
        <f>B100*-0.25</f>
        <v>-3784.9333333333334</v>
      </c>
      <c r="D57" s="10"/>
      <c r="E57" s="3"/>
      <c r="G57" t="s">
        <v>170</v>
      </c>
    </row>
    <row r="58" spans="1:7">
      <c r="A58" s="14" t="s">
        <v>164</v>
      </c>
      <c r="B58" s="9">
        <f>+B101*-0.25</f>
        <v>-5866.2666666666664</v>
      </c>
      <c r="D58" s="10"/>
      <c r="E58" s="3"/>
      <c r="G58" t="s">
        <v>171</v>
      </c>
    </row>
    <row r="59" spans="1:7">
      <c r="A59" s="5" t="s">
        <v>90</v>
      </c>
      <c r="B59" s="9">
        <f>+B102*0.2</f>
        <v>5500</v>
      </c>
      <c r="D59" s="10"/>
      <c r="E59" s="3"/>
      <c r="G59" s="2" t="s">
        <v>91</v>
      </c>
    </row>
    <row r="60" spans="1:7">
      <c r="A60" s="15" t="s">
        <v>88</v>
      </c>
      <c r="B60" s="49">
        <f>1000*-0.05</f>
        <v>-50</v>
      </c>
      <c r="C60" s="43"/>
      <c r="D60" s="43"/>
      <c r="E60" s="43"/>
      <c r="F60" s="43"/>
      <c r="G60" s="50" t="s">
        <v>89</v>
      </c>
    </row>
    <row r="61" spans="1:7">
      <c r="A61" s="15" t="s">
        <v>159</v>
      </c>
      <c r="B61">
        <f>5000*0.25</f>
        <v>1250</v>
      </c>
      <c r="D61" s="10"/>
      <c r="E61" s="3"/>
      <c r="G61" s="50" t="s">
        <v>162</v>
      </c>
    </row>
    <row r="62" spans="1:7">
      <c r="A62" s="14" t="s">
        <v>160</v>
      </c>
      <c r="B62">
        <f>7000*0.25</f>
        <v>1750</v>
      </c>
      <c r="D62" s="10"/>
      <c r="E62" s="3"/>
      <c r="G62" s="50" t="s">
        <v>163</v>
      </c>
    </row>
    <row r="63" spans="1:7">
      <c r="A63" s="63" t="s">
        <v>16</v>
      </c>
      <c r="B63" s="41">
        <f>+D51</f>
        <v>-3308.3333333333412</v>
      </c>
      <c r="D63" s="10"/>
      <c r="E63" s="3"/>
    </row>
    <row r="64" spans="1:7">
      <c r="A64" s="6" t="s">
        <v>20</v>
      </c>
      <c r="B64" s="4">
        <f>SUM(B56:B63)</f>
        <v>195490.46666666667</v>
      </c>
      <c r="D64" s="10"/>
      <c r="E64" s="3"/>
    </row>
    <row r="65" spans="1:7">
      <c r="A65" s="1"/>
      <c r="D65" s="10"/>
      <c r="E65" s="3"/>
    </row>
    <row r="66" spans="1:7">
      <c r="A66" s="7"/>
      <c r="B66" s="7"/>
      <c r="C66" s="7"/>
      <c r="D66" s="7"/>
      <c r="E66" s="7"/>
      <c r="F66" s="7"/>
      <c r="G66" s="7"/>
    </row>
    <row r="67" spans="1:7">
      <c r="A67" s="6" t="s">
        <v>14</v>
      </c>
      <c r="B67" s="7"/>
      <c r="C67" s="7"/>
      <c r="D67" s="7"/>
      <c r="E67" s="7"/>
      <c r="F67" s="7"/>
      <c r="G67" s="7"/>
    </row>
    <row r="68" spans="1:7">
      <c r="A68" s="11" t="s">
        <v>6</v>
      </c>
      <c r="B68" s="7"/>
      <c r="C68" s="7"/>
      <c r="D68" s="7"/>
      <c r="E68" s="7"/>
      <c r="F68" s="7"/>
      <c r="G68" s="7"/>
    </row>
    <row r="69" spans="1:7">
      <c r="A69" s="20" t="s">
        <v>32</v>
      </c>
      <c r="B69" s="7"/>
      <c r="C69" s="7"/>
      <c r="D69" s="7"/>
      <c r="E69" s="7"/>
      <c r="F69" s="7"/>
      <c r="G69" s="7"/>
    </row>
    <row r="70" spans="1:7" s="14" customFormat="1">
      <c r="A70" s="19"/>
      <c r="B70" s="5"/>
      <c r="C70" s="5"/>
      <c r="D70" s="5"/>
      <c r="E70" s="5"/>
      <c r="F70" s="5"/>
      <c r="G70" s="5"/>
    </row>
    <row r="71" spans="1:7" s="14" customFormat="1">
      <c r="A71" s="33" t="s">
        <v>33</v>
      </c>
      <c r="B71" s="5"/>
      <c r="C71" s="5"/>
      <c r="D71" s="5"/>
      <c r="E71" s="5"/>
      <c r="F71" s="5"/>
      <c r="G71" s="5"/>
    </row>
    <row r="72" spans="1:7" s="14" customFormat="1">
      <c r="A72" s="19"/>
      <c r="B72" s="5"/>
      <c r="C72" s="5"/>
      <c r="D72" s="5"/>
      <c r="E72" s="5"/>
      <c r="F72" s="5"/>
      <c r="G72" s="5"/>
    </row>
    <row r="73" spans="1:7" s="14" customFormat="1">
      <c r="A73" s="19" t="s">
        <v>34</v>
      </c>
      <c r="B73" s="23">
        <v>50000</v>
      </c>
      <c r="C73" s="5"/>
      <c r="D73" s="5"/>
      <c r="E73" s="5"/>
      <c r="F73" s="5"/>
      <c r="G73" s="5"/>
    </row>
    <row r="74" spans="1:7" s="14" customFormat="1">
      <c r="A74" s="34" t="s">
        <v>36</v>
      </c>
      <c r="B74" s="36">
        <f>-0.4*80000</f>
        <v>-32000</v>
      </c>
      <c r="C74" s="5"/>
      <c r="D74" s="5"/>
      <c r="E74" s="5"/>
      <c r="F74" s="5"/>
      <c r="G74" s="21" t="s">
        <v>37</v>
      </c>
    </row>
    <row r="75" spans="1:7" s="14" customFormat="1">
      <c r="A75" s="19" t="s">
        <v>35</v>
      </c>
      <c r="B75" s="23">
        <f>+B73+B74</f>
        <v>18000</v>
      </c>
      <c r="C75" s="5"/>
      <c r="D75" s="5"/>
      <c r="E75" s="5"/>
      <c r="F75" s="5"/>
      <c r="G75" s="5"/>
    </row>
    <row r="76" spans="1:7" s="14" customFormat="1">
      <c r="A76" s="19"/>
      <c r="B76" s="23"/>
      <c r="C76" s="5"/>
      <c r="D76" s="5"/>
      <c r="E76" s="5"/>
      <c r="F76" s="5"/>
      <c r="G76" s="5"/>
    </row>
    <row r="77" spans="1:7" s="14" customFormat="1">
      <c r="A77" s="20" t="s">
        <v>38</v>
      </c>
      <c r="B77" s="23"/>
      <c r="C77" s="5"/>
      <c r="D77" s="5"/>
      <c r="E77" s="5"/>
      <c r="F77" s="5"/>
      <c r="G77" s="5"/>
    </row>
    <row r="78" spans="1:7" s="14" customFormat="1">
      <c r="A78" s="19" t="s">
        <v>56</v>
      </c>
      <c r="B78" s="23">
        <f>0.4*10000</f>
        <v>4000</v>
      </c>
      <c r="C78" s="5"/>
      <c r="D78" s="5"/>
      <c r="E78" s="5"/>
      <c r="F78" s="5"/>
      <c r="G78" s="21" t="s">
        <v>41</v>
      </c>
    </row>
    <row r="79" spans="1:7" s="14" customFormat="1">
      <c r="A79" s="19" t="s">
        <v>39</v>
      </c>
      <c r="B79" s="23">
        <f>-B78*0.25</f>
        <v>-1000</v>
      </c>
      <c r="C79" s="5"/>
      <c r="D79" s="5"/>
      <c r="E79" s="5"/>
      <c r="F79" s="5"/>
      <c r="G79" s="5"/>
    </row>
    <row r="80" spans="1:7" s="14" customFormat="1">
      <c r="A80" s="19" t="s">
        <v>40</v>
      </c>
      <c r="B80" s="23">
        <f>+B81-B78-B79</f>
        <v>15000</v>
      </c>
      <c r="C80" s="5"/>
      <c r="D80" s="5"/>
      <c r="E80" s="5"/>
      <c r="F80" s="5"/>
      <c r="G80" s="5"/>
    </row>
    <row r="81" spans="1:7" s="14" customFormat="1">
      <c r="A81" s="19" t="s">
        <v>13</v>
      </c>
      <c r="B81" s="23">
        <f>+B75</f>
        <v>18000</v>
      </c>
      <c r="C81" s="5"/>
      <c r="D81" s="5"/>
      <c r="E81" s="5"/>
      <c r="F81" s="5"/>
      <c r="G81" s="5"/>
    </row>
    <row r="82" spans="1:7" s="14" customFormat="1">
      <c r="A82" s="19"/>
      <c r="B82" s="23"/>
      <c r="C82" s="5"/>
      <c r="D82" s="5"/>
      <c r="E82" s="5"/>
      <c r="F82" s="5"/>
      <c r="G82" s="5"/>
    </row>
    <row r="83" spans="1:7" s="14" customFormat="1">
      <c r="A83" s="20" t="s">
        <v>57</v>
      </c>
      <c r="B83" s="23"/>
      <c r="C83" s="5"/>
      <c r="D83" s="5"/>
      <c r="E83" s="5"/>
      <c r="F83" s="5"/>
      <c r="G83" s="5"/>
    </row>
    <row r="84" spans="1:7" s="14" customFormat="1">
      <c r="A84" s="37" t="s">
        <v>42</v>
      </c>
      <c r="B84" s="23">
        <f>+B79</f>
        <v>-1000</v>
      </c>
      <c r="C84" s="5"/>
      <c r="D84" s="5"/>
      <c r="E84" s="5"/>
      <c r="F84" s="5"/>
      <c r="G84" s="5" t="s">
        <v>58</v>
      </c>
    </row>
    <row r="85" spans="1:7" s="14" customFormat="1">
      <c r="A85" s="19" t="s">
        <v>59</v>
      </c>
      <c r="B85" s="23">
        <v>0</v>
      </c>
      <c r="C85" s="5"/>
      <c r="D85" s="5"/>
      <c r="E85" s="5"/>
      <c r="F85" s="5"/>
      <c r="G85" s="5"/>
    </row>
    <row r="86" spans="1:7" s="14" customFormat="1">
      <c r="A86" s="19"/>
      <c r="B86" s="5"/>
      <c r="C86" s="5"/>
      <c r="D86" s="5"/>
      <c r="E86" s="5"/>
      <c r="F86" s="5"/>
      <c r="G86" s="5"/>
    </row>
    <row r="87" spans="1:7" s="14" customFormat="1">
      <c r="A87" s="20" t="s">
        <v>43</v>
      </c>
      <c r="B87" s="9"/>
      <c r="C87" s="22"/>
      <c r="D87" s="5"/>
      <c r="E87" s="5"/>
      <c r="F87" s="5"/>
      <c r="G87" s="5"/>
    </row>
    <row r="88" spans="1:7" s="14" customFormat="1">
      <c r="A88" s="19" t="s">
        <v>47</v>
      </c>
      <c r="B88" s="9">
        <f>+B73</f>
        <v>50000</v>
      </c>
      <c r="C88" s="5"/>
      <c r="D88" s="5"/>
      <c r="E88" s="5"/>
      <c r="F88" s="5"/>
      <c r="G88" s="5"/>
    </row>
    <row r="89" spans="1:7" s="14" customFormat="1">
      <c r="A89" s="34" t="s">
        <v>44</v>
      </c>
      <c r="B89" s="17">
        <f>20000*0.5*0.4</f>
        <v>4000</v>
      </c>
      <c r="C89" s="5"/>
      <c r="D89" s="5"/>
      <c r="E89" s="5"/>
      <c r="F89" s="5"/>
      <c r="G89" s="21" t="s">
        <v>45</v>
      </c>
    </row>
    <row r="90" spans="1:7" s="14" customFormat="1">
      <c r="A90" s="19" t="s">
        <v>46</v>
      </c>
      <c r="B90" s="9">
        <f>SUM(B88:B89)</f>
        <v>54000</v>
      </c>
      <c r="C90" s="5"/>
      <c r="D90" s="5"/>
      <c r="E90" s="5"/>
      <c r="F90" s="5"/>
      <c r="G90" s="21"/>
    </row>
    <row r="91" spans="1:7" s="14" customFormat="1">
      <c r="A91" s="19" t="s">
        <v>48</v>
      </c>
      <c r="B91" s="9">
        <f>30000*0.4</f>
        <v>12000</v>
      </c>
      <c r="C91" s="5"/>
      <c r="D91" s="5"/>
      <c r="E91" s="5"/>
      <c r="F91" s="5"/>
      <c r="G91" s="21" t="s">
        <v>49</v>
      </c>
    </row>
    <row r="92" spans="1:7" s="14" customFormat="1">
      <c r="A92" s="19" t="s">
        <v>60</v>
      </c>
      <c r="B92" s="23">
        <f>+-B78*0.75</f>
        <v>-3000</v>
      </c>
      <c r="C92" s="5"/>
      <c r="D92" s="5"/>
      <c r="E92" s="5"/>
      <c r="F92" s="5"/>
      <c r="G92" s="21" t="s">
        <v>61</v>
      </c>
    </row>
    <row r="93" spans="1:7" s="14" customFormat="1">
      <c r="A93" s="34" t="s">
        <v>50</v>
      </c>
      <c r="B93" s="36">
        <f>(40000-30000*24/25)*0.4*(1/24*0.72+23/24*0.7)</f>
        <v>3139.7333333333331</v>
      </c>
      <c r="C93" s="5"/>
      <c r="D93" s="5"/>
      <c r="E93" s="5"/>
      <c r="F93" s="5"/>
      <c r="G93" s="21" t="s">
        <v>166</v>
      </c>
    </row>
    <row r="94" spans="1:7" s="14" customFormat="1">
      <c r="A94" s="19" t="s">
        <v>51</v>
      </c>
      <c r="B94" s="23">
        <f>SUM(B90:B93)</f>
        <v>66139.733333333337</v>
      </c>
      <c r="C94" s="5"/>
      <c r="D94" s="5"/>
      <c r="E94" s="5"/>
      <c r="F94" s="5"/>
      <c r="G94" s="21"/>
    </row>
    <row r="95" spans="1:7" s="14" customFormat="1">
      <c r="A95" s="34" t="s">
        <v>52</v>
      </c>
      <c r="B95" s="36">
        <f>-B94/4</f>
        <v>-16534.933333333334</v>
      </c>
      <c r="C95" s="35"/>
      <c r="D95" s="35"/>
      <c r="E95" s="35"/>
      <c r="F95" s="35"/>
      <c r="G95" s="38" t="s">
        <v>167</v>
      </c>
    </row>
    <row r="96" spans="1:7" s="14" customFormat="1">
      <c r="A96" s="19" t="s">
        <v>53</v>
      </c>
      <c r="B96" s="23">
        <f>+B95+B94</f>
        <v>49604.800000000003</v>
      </c>
      <c r="C96" s="5"/>
      <c r="D96" s="5"/>
      <c r="E96" s="5"/>
      <c r="F96" s="5"/>
      <c r="G96" s="21"/>
    </row>
    <row r="97" spans="1:7" s="14" customFormat="1">
      <c r="A97" s="19"/>
      <c r="B97" s="23"/>
      <c r="C97" s="32"/>
      <c r="D97" s="5"/>
      <c r="E97" s="5"/>
      <c r="F97" s="5"/>
      <c r="G97" s="21"/>
    </row>
    <row r="98" spans="1:7" s="14" customFormat="1" ht="25.5">
      <c r="A98" s="24" t="s">
        <v>64</v>
      </c>
      <c r="B98" s="23"/>
      <c r="C98" s="5"/>
      <c r="D98" s="5"/>
      <c r="E98" s="5"/>
      <c r="F98" s="5"/>
      <c r="G98" s="21"/>
    </row>
    <row r="99" spans="1:7" s="14" customFormat="1">
      <c r="A99" s="39" t="s">
        <v>62</v>
      </c>
      <c r="B99" s="23">
        <v>4000</v>
      </c>
      <c r="C99" s="5"/>
      <c r="D99" s="5"/>
      <c r="E99" s="5"/>
      <c r="F99" s="5"/>
      <c r="G99" s="21"/>
    </row>
    <row r="100" spans="1:7" s="14" customFormat="1" ht="25.5">
      <c r="A100" s="39" t="s">
        <v>65</v>
      </c>
      <c r="B100" s="23">
        <f>+B91+B93</f>
        <v>15139.733333333334</v>
      </c>
      <c r="C100" s="5"/>
      <c r="D100" s="5"/>
      <c r="E100" s="5"/>
      <c r="F100" s="5"/>
      <c r="G100" s="21" t="s">
        <v>168</v>
      </c>
    </row>
    <row r="101" spans="1:7" s="14" customFormat="1">
      <c r="A101" s="24" t="s">
        <v>73</v>
      </c>
      <c r="B101" s="23">
        <f>40000+B95</f>
        <v>23465.066666666666</v>
      </c>
      <c r="C101" s="32"/>
      <c r="D101" s="5"/>
      <c r="E101" s="5"/>
      <c r="F101" s="5"/>
      <c r="G101" s="5" t="s">
        <v>169</v>
      </c>
    </row>
    <row r="102" spans="1:7" s="14" customFormat="1" ht="25.5">
      <c r="A102" s="24" t="s">
        <v>55</v>
      </c>
      <c r="B102" s="23">
        <f>40000-50000/4</f>
        <v>27500</v>
      </c>
      <c r="C102" s="32"/>
      <c r="D102" s="5"/>
      <c r="E102" s="5"/>
      <c r="F102" s="5"/>
      <c r="G102" s="21" t="s">
        <v>54</v>
      </c>
    </row>
    <row r="103" spans="1:7" s="14" customFormat="1">
      <c r="A103" s="19"/>
      <c r="B103" s="23"/>
      <c r="C103" s="32"/>
      <c r="D103" s="5"/>
      <c r="E103" s="5"/>
      <c r="F103" s="5"/>
      <c r="G103" s="21"/>
    </row>
    <row r="104" spans="1:7" s="14" customFormat="1">
      <c r="A104" s="42" t="s">
        <v>7</v>
      </c>
      <c r="B104" s="43"/>
      <c r="C104" s="43"/>
      <c r="D104" s="43"/>
      <c r="E104" s="43"/>
      <c r="F104" s="43"/>
      <c r="G104" s="43"/>
    </row>
    <row r="105" spans="1:7" s="14" customFormat="1">
      <c r="A105" s="44" t="s">
        <v>75</v>
      </c>
      <c r="B105" s="26"/>
      <c r="C105" s="26"/>
      <c r="D105" s="26"/>
      <c r="E105" s="26"/>
      <c r="F105" s="26"/>
      <c r="G105" s="26"/>
    </row>
    <row r="106" spans="1:7" s="14" customFormat="1">
      <c r="A106" s="16" t="s">
        <v>76</v>
      </c>
      <c r="B106" s="45">
        <f>10000*1.3</f>
        <v>13000</v>
      </c>
      <c r="C106" s="26"/>
      <c r="D106" s="26"/>
      <c r="E106" s="26"/>
      <c r="F106" s="26"/>
      <c r="G106" s="29" t="s">
        <v>78</v>
      </c>
    </row>
    <row r="107" spans="1:7" s="14" customFormat="1">
      <c r="A107" s="16" t="s">
        <v>77</v>
      </c>
      <c r="B107" s="45">
        <v>10000</v>
      </c>
      <c r="C107" s="26"/>
      <c r="D107" s="26"/>
      <c r="E107" s="26"/>
      <c r="F107" s="26"/>
      <c r="G107" s="28"/>
    </row>
    <row r="108" spans="1:7" s="14" customFormat="1">
      <c r="A108" s="46" t="s">
        <v>23</v>
      </c>
      <c r="B108" s="47">
        <f>+B106-B107</f>
        <v>3000</v>
      </c>
      <c r="C108" s="26"/>
      <c r="D108" s="26"/>
      <c r="E108" s="26"/>
      <c r="F108" s="26"/>
      <c r="G108" s="26"/>
    </row>
    <row r="109" spans="1:7" s="14" customFormat="1">
      <c r="A109" s="16" t="s">
        <v>79</v>
      </c>
      <c r="B109" s="45">
        <f>-B108*0.2</f>
        <v>-600</v>
      </c>
      <c r="C109" s="26"/>
      <c r="D109" s="26"/>
      <c r="E109" s="26"/>
      <c r="F109" s="26"/>
      <c r="G109" s="16" t="s">
        <v>80</v>
      </c>
    </row>
    <row r="110" spans="1:7" s="14" customFormat="1">
      <c r="A110" s="16" t="s">
        <v>81</v>
      </c>
      <c r="B110" s="45">
        <f>10000*1.4</f>
        <v>14000</v>
      </c>
      <c r="C110" s="26"/>
      <c r="D110" s="26"/>
      <c r="E110" s="26"/>
      <c r="F110" s="26"/>
      <c r="G110" s="16" t="s">
        <v>84</v>
      </c>
    </row>
    <row r="111" spans="1:7" s="14" customFormat="1">
      <c r="A111" s="16" t="s">
        <v>82</v>
      </c>
      <c r="B111" s="45">
        <v>10000</v>
      </c>
      <c r="C111" s="26"/>
      <c r="D111" s="26"/>
      <c r="E111" s="26"/>
      <c r="F111" s="26"/>
      <c r="G111" s="28"/>
    </row>
    <row r="112" spans="1:7" s="14" customFormat="1">
      <c r="A112" s="46" t="s">
        <v>23</v>
      </c>
      <c r="B112" s="48">
        <f>+B110-B111</f>
        <v>4000</v>
      </c>
      <c r="C112" s="26"/>
      <c r="D112" s="26"/>
      <c r="E112" s="26"/>
      <c r="F112" s="26"/>
      <c r="G112" s="26"/>
    </row>
    <row r="113" spans="1:7" s="14" customFormat="1">
      <c r="A113" s="16" t="s">
        <v>83</v>
      </c>
      <c r="B113" s="45">
        <f>-B112*0.2</f>
        <v>-800</v>
      </c>
      <c r="C113" s="26"/>
      <c r="D113" s="26"/>
      <c r="E113" s="26"/>
      <c r="F113" s="26"/>
      <c r="G113" s="28" t="s">
        <v>74</v>
      </c>
    </row>
    <row r="114" spans="1:7" s="14" customFormat="1">
      <c r="A114" s="16"/>
      <c r="B114" s="45"/>
      <c r="C114" s="26"/>
      <c r="D114" s="26"/>
      <c r="E114" s="26"/>
      <c r="F114" s="26"/>
      <c r="G114" s="28"/>
    </row>
    <row r="115" spans="1:7" s="14" customFormat="1">
      <c r="A115" s="42" t="s">
        <v>8</v>
      </c>
      <c r="B115" s="45"/>
      <c r="C115" s="26"/>
      <c r="D115" s="26"/>
      <c r="E115" s="26"/>
      <c r="F115" s="26"/>
      <c r="G115" s="28"/>
    </row>
    <row r="116" spans="1:7" s="14" customFormat="1">
      <c r="A116" s="52" t="s">
        <v>93</v>
      </c>
      <c r="B116" s="30"/>
      <c r="C116" s="26"/>
      <c r="D116" s="26"/>
      <c r="E116" s="26"/>
      <c r="F116" s="26"/>
      <c r="G116" s="26"/>
    </row>
    <row r="117" spans="1:7" s="14" customFormat="1">
      <c r="A117" s="26"/>
      <c r="B117" s="26"/>
      <c r="C117" s="26"/>
      <c r="D117" s="26"/>
      <c r="E117" s="26"/>
      <c r="F117" s="26"/>
      <c r="G117" s="26"/>
    </row>
    <row r="118" spans="1:7" s="14" customFormat="1">
      <c r="A118" s="16" t="s">
        <v>108</v>
      </c>
      <c r="B118" s="30">
        <f>50000*12.5/15</f>
        <v>41666.666666666664</v>
      </c>
      <c r="C118" s="26"/>
      <c r="D118" s="26"/>
      <c r="E118" s="26"/>
      <c r="F118" s="26"/>
      <c r="G118" s="16" t="s">
        <v>98</v>
      </c>
    </row>
    <row r="119" spans="1:7" s="14" customFormat="1">
      <c r="A119" s="16" t="s">
        <v>109</v>
      </c>
      <c r="B119" s="30">
        <f>50000*4.5/5</f>
        <v>45000</v>
      </c>
      <c r="C119" s="26"/>
      <c r="D119" s="26"/>
      <c r="E119" s="26"/>
      <c r="F119" s="26"/>
      <c r="G119" s="16" t="s">
        <v>97</v>
      </c>
    </row>
    <row r="120" spans="1:7" s="14" customFormat="1">
      <c r="A120" s="16" t="s">
        <v>100</v>
      </c>
      <c r="B120" s="30">
        <f>+B121-B119</f>
        <v>15000</v>
      </c>
      <c r="C120" s="26"/>
      <c r="D120" s="26"/>
      <c r="E120" s="26"/>
      <c r="F120" s="26"/>
      <c r="G120" s="16" t="s">
        <v>102</v>
      </c>
    </row>
    <row r="121" spans="1:7" s="14" customFormat="1">
      <c r="A121" s="16" t="s">
        <v>110</v>
      </c>
      <c r="B121" s="30">
        <v>60000</v>
      </c>
      <c r="C121" s="26"/>
      <c r="D121" s="26"/>
      <c r="E121" s="26"/>
      <c r="F121" s="26"/>
      <c r="G121" s="26"/>
    </row>
    <row r="122" spans="1:7" s="14" customFormat="1">
      <c r="A122" s="16" t="s">
        <v>101</v>
      </c>
      <c r="B122" s="30">
        <f>+B121-B118</f>
        <v>18333.333333333336</v>
      </c>
      <c r="C122" s="26"/>
      <c r="D122" s="26"/>
      <c r="E122" s="26"/>
      <c r="F122" s="26"/>
      <c r="G122" s="16" t="s">
        <v>99</v>
      </c>
    </row>
    <row r="123" spans="1:7" s="14" customFormat="1">
      <c r="A123" s="26"/>
      <c r="B123" s="30"/>
      <c r="C123" s="26"/>
      <c r="D123" s="26"/>
      <c r="E123" s="26"/>
      <c r="F123" s="26"/>
      <c r="G123" s="28"/>
    </row>
    <row r="124" spans="1:7" s="14" customFormat="1">
      <c r="A124" s="25" t="s">
        <v>94</v>
      </c>
      <c r="B124" s="30"/>
      <c r="C124" s="26"/>
      <c r="D124" s="26"/>
      <c r="E124" s="26"/>
      <c r="F124" s="26"/>
      <c r="G124" s="28"/>
    </row>
    <row r="125" spans="1:7" s="14" customFormat="1">
      <c r="A125" s="53">
        <v>42004</v>
      </c>
      <c r="B125" s="30">
        <f>+B122</f>
        <v>18333.333333333336</v>
      </c>
      <c r="C125" s="26"/>
      <c r="D125" s="26"/>
      <c r="E125" s="26"/>
      <c r="F125" s="26"/>
      <c r="G125" s="26"/>
    </row>
    <row r="126" spans="1:7" s="14" customFormat="1">
      <c r="A126" s="53">
        <v>42369</v>
      </c>
      <c r="B126" s="30">
        <f>+B121*3.5/4.5-50000*8/15</f>
        <v>19999.999999999996</v>
      </c>
      <c r="C126" s="26"/>
      <c r="D126" s="26"/>
      <c r="E126" s="26"/>
      <c r="F126" s="26"/>
      <c r="G126" s="16" t="s">
        <v>104</v>
      </c>
    </row>
    <row r="127" spans="1:7" s="14" customFormat="1">
      <c r="A127" s="54" t="s">
        <v>111</v>
      </c>
      <c r="B127" s="30"/>
      <c r="C127" s="26"/>
      <c r="D127" s="26"/>
      <c r="E127" s="26"/>
      <c r="F127" s="26"/>
      <c r="G127" s="16"/>
    </row>
    <row r="128" spans="1:7" s="14" customFormat="1">
      <c r="A128" s="14" t="s">
        <v>105</v>
      </c>
      <c r="B128" s="30"/>
      <c r="C128" s="26"/>
      <c r="D128" s="26"/>
      <c r="E128" s="26"/>
      <c r="F128" s="26"/>
      <c r="G128" s="16"/>
    </row>
    <row r="129" spans="1:7" s="14" customFormat="1">
      <c r="A129" s="55" t="s">
        <v>103</v>
      </c>
      <c r="B129" s="30"/>
      <c r="C129" s="26"/>
      <c r="D129" s="26"/>
      <c r="E129" s="26"/>
      <c r="F129" s="26"/>
      <c r="G129" s="16"/>
    </row>
    <row r="130" spans="1:7" s="14" customFormat="1">
      <c r="A130" s="26" t="s">
        <v>95</v>
      </c>
      <c r="B130" s="30">
        <f>-(B119-B118)*0.3</f>
        <v>-1000.0000000000007</v>
      </c>
      <c r="C130" s="26"/>
      <c r="D130" s="26"/>
      <c r="E130" s="26"/>
      <c r="F130" s="26"/>
      <c r="G130" s="29" t="s">
        <v>106</v>
      </c>
    </row>
    <row r="131" spans="1:7" s="14" customFormat="1">
      <c r="A131" s="26" t="s">
        <v>96</v>
      </c>
      <c r="B131" s="30">
        <f>-((B120/4.5)*0.28+(B120*3.5/4.5*0.3))</f>
        <v>-4433.333333333333</v>
      </c>
      <c r="C131" s="26"/>
      <c r="D131" s="26"/>
      <c r="E131" s="26"/>
      <c r="F131" s="26"/>
      <c r="G131" s="16" t="s">
        <v>107</v>
      </c>
    </row>
    <row r="132" spans="1:7" s="14" customFormat="1">
      <c r="A132" s="25" t="s">
        <v>92</v>
      </c>
      <c r="B132" s="31">
        <f>+B131+B130</f>
        <v>-5433.3333333333339</v>
      </c>
      <c r="C132" s="26"/>
      <c r="D132" s="26"/>
      <c r="E132" s="26"/>
      <c r="F132" s="26"/>
      <c r="G132" s="28"/>
    </row>
    <row r="133" spans="1:7" s="14" customFormat="1">
      <c r="A133"/>
      <c r="B133" s="51"/>
      <c r="C133" s="56"/>
      <c r="D133"/>
      <c r="E133"/>
      <c r="F133"/>
      <c r="G133" s="2"/>
    </row>
    <row r="134" spans="1:7" s="14" customFormat="1">
      <c r="A134" s="6" t="s">
        <v>9</v>
      </c>
      <c r="B134" s="7"/>
      <c r="C134" s="7"/>
      <c r="D134" s="7"/>
      <c r="E134" s="7"/>
      <c r="F134" s="7"/>
      <c r="G134" s="7"/>
    </row>
    <row r="135" spans="1:7" s="14" customFormat="1">
      <c r="A135" s="58" t="s">
        <v>120</v>
      </c>
      <c r="B135" s="7"/>
      <c r="C135" s="7"/>
      <c r="D135" s="7"/>
      <c r="E135" s="7"/>
      <c r="F135" s="7"/>
      <c r="G135" s="7"/>
    </row>
    <row r="136" spans="1:7" s="14" customFormat="1">
      <c r="A136" s="7" t="s">
        <v>109</v>
      </c>
      <c r="B136" s="9">
        <f>30000*2.75/3</f>
        <v>27500</v>
      </c>
      <c r="C136" s="7"/>
      <c r="D136" s="7"/>
      <c r="E136" s="7"/>
      <c r="F136" s="7"/>
      <c r="G136" s="7" t="s">
        <v>123</v>
      </c>
    </row>
    <row r="137" spans="1:7" s="14" customFormat="1">
      <c r="A137" s="7" t="s">
        <v>126</v>
      </c>
      <c r="B137" s="9">
        <v>60000</v>
      </c>
      <c r="C137" s="7"/>
      <c r="D137" s="7"/>
      <c r="E137" s="7"/>
      <c r="F137" s="7"/>
      <c r="G137" s="8"/>
    </row>
    <row r="138" spans="1:7" s="14" customFormat="1">
      <c r="A138" s="5" t="s">
        <v>127</v>
      </c>
      <c r="B138" s="9">
        <f>+B137-B136</f>
        <v>32500</v>
      </c>
      <c r="C138" s="7"/>
      <c r="D138" s="7"/>
      <c r="E138" s="7"/>
      <c r="F138" s="7"/>
      <c r="G138" s="7" t="s">
        <v>124</v>
      </c>
    </row>
    <row r="139" spans="1:7" s="14" customFormat="1">
      <c r="A139" s="7" t="s">
        <v>121</v>
      </c>
      <c r="B139" s="9"/>
      <c r="C139" s="7"/>
      <c r="D139" s="7"/>
      <c r="E139" s="7"/>
      <c r="F139" s="7"/>
      <c r="G139" s="8"/>
    </row>
    <row r="140" spans="1:7" s="14" customFormat="1">
      <c r="A140" s="7"/>
      <c r="B140" s="9"/>
      <c r="C140" s="7"/>
      <c r="D140" s="7"/>
      <c r="E140" s="7"/>
      <c r="F140" s="7"/>
      <c r="G140" s="8"/>
    </row>
    <row r="141" spans="1:7" s="14" customFormat="1">
      <c r="A141" s="6" t="s">
        <v>94</v>
      </c>
      <c r="B141" s="9"/>
      <c r="C141" s="7"/>
      <c r="D141" s="7"/>
      <c r="E141" s="7"/>
      <c r="F141" s="7"/>
      <c r="G141" s="7"/>
    </row>
    <row r="142" spans="1:7" s="14" customFormat="1">
      <c r="A142" s="21" t="s">
        <v>72</v>
      </c>
      <c r="B142" s="9">
        <v>60000</v>
      </c>
      <c r="C142" s="7"/>
      <c r="D142" s="7"/>
      <c r="E142" s="7"/>
      <c r="F142" s="7"/>
      <c r="G142" s="8"/>
    </row>
    <row r="143" spans="1:7" s="14" customFormat="1">
      <c r="A143" s="21" t="s">
        <v>129</v>
      </c>
      <c r="B143" s="9">
        <f>+B142*1.75/2.75</f>
        <v>38181.818181818184</v>
      </c>
      <c r="C143" s="7"/>
      <c r="D143" s="7"/>
      <c r="E143" s="7"/>
      <c r="F143" s="7"/>
      <c r="G143" s="7" t="s">
        <v>125</v>
      </c>
    </row>
    <row r="144" spans="1:7" s="14" customFormat="1">
      <c r="A144" s="5" t="s">
        <v>130</v>
      </c>
      <c r="B144" s="9"/>
      <c r="C144" s="7"/>
      <c r="D144" s="9"/>
      <c r="E144" s="7"/>
      <c r="F144" s="7"/>
      <c r="G144" s="8"/>
    </row>
    <row r="145" spans="1:7" s="14" customFormat="1">
      <c r="A145" s="7"/>
      <c r="B145" s="9"/>
      <c r="C145" s="7"/>
      <c r="D145" s="7"/>
      <c r="E145" s="7"/>
      <c r="F145" s="7"/>
      <c r="G145" s="8"/>
    </row>
    <row r="146" spans="1:7" s="14" customFormat="1">
      <c r="A146" s="6" t="s">
        <v>128</v>
      </c>
      <c r="B146" s="10">
        <f>-((B142-B143)*0.28+B143*0.3)</f>
        <v>-17563.636363636364</v>
      </c>
      <c r="C146" s="7"/>
      <c r="D146" s="7"/>
      <c r="E146" s="7"/>
      <c r="F146" s="7"/>
      <c r="G146" s="7" t="s">
        <v>131</v>
      </c>
    </row>
    <row r="147" spans="1:7" s="14" customFormat="1">
      <c r="A147" s="7"/>
      <c r="B147" s="7"/>
      <c r="C147" s="7"/>
      <c r="D147" s="7"/>
      <c r="E147" s="7"/>
      <c r="F147" s="7"/>
      <c r="G147" s="7"/>
    </row>
    <row r="148" spans="1:7" s="14" customFormat="1">
      <c r="A148" s="7" t="s">
        <v>132</v>
      </c>
      <c r="B148" s="7"/>
      <c r="C148" s="7"/>
      <c r="D148" s="7"/>
      <c r="E148" s="7"/>
      <c r="F148" s="7"/>
      <c r="G148" s="7"/>
    </row>
    <row r="149" spans="1:7" s="14" customFormat="1">
      <c r="A149" s="7" t="s">
        <v>122</v>
      </c>
      <c r="B149" s="9">
        <f>+B146*B136/B137</f>
        <v>-8050</v>
      </c>
      <c r="C149" s="7"/>
      <c r="D149" s="7"/>
      <c r="E149" s="7"/>
      <c r="F149" s="7"/>
      <c r="G149" s="7" t="s">
        <v>133</v>
      </c>
    </row>
    <row r="150" spans="1:7" s="14" customFormat="1">
      <c r="A150" s="7" t="s">
        <v>22</v>
      </c>
      <c r="B150" s="9">
        <f>+B146*B138/B137</f>
        <v>-9513.636363636364</v>
      </c>
      <c r="C150" s="7"/>
      <c r="D150" s="7"/>
      <c r="E150" s="7"/>
      <c r="F150" s="7"/>
      <c r="G150" s="7" t="s">
        <v>134</v>
      </c>
    </row>
    <row r="151" spans="1:7" s="14" customFormat="1">
      <c r="A151" s="7"/>
      <c r="B151" s="9"/>
      <c r="C151" s="7"/>
      <c r="D151" s="7"/>
      <c r="E151" s="7"/>
      <c r="F151" s="7"/>
      <c r="G151" s="7"/>
    </row>
    <row r="152" spans="1:7" s="14" customFormat="1">
      <c r="A152" s="6" t="s">
        <v>135</v>
      </c>
      <c r="B152" s="51"/>
      <c r="C152" s="56"/>
      <c r="D152"/>
      <c r="E152"/>
      <c r="F152"/>
      <c r="G152" s="2"/>
    </row>
    <row r="153" spans="1:7" s="14" customFormat="1">
      <c r="A153" s="59" t="s">
        <v>136</v>
      </c>
      <c r="B153" s="51">
        <v>30000</v>
      </c>
      <c r="C153" s="56"/>
      <c r="D153"/>
      <c r="E153"/>
      <c r="F153"/>
      <c r="G153" s="2"/>
    </row>
    <row r="154" spans="1:7" s="14" customFormat="1" ht="25.5">
      <c r="A154" s="60" t="s">
        <v>137</v>
      </c>
      <c r="B154" s="51">
        <f>30000*0.25/3</f>
        <v>2500</v>
      </c>
      <c r="C154" s="56"/>
      <c r="D154"/>
      <c r="E154"/>
      <c r="F154"/>
      <c r="G154" t="s">
        <v>144</v>
      </c>
    </row>
    <row r="155" spans="1:7" s="14" customFormat="1">
      <c r="A155" s="26"/>
      <c r="B155" s="26"/>
      <c r="C155" s="26"/>
      <c r="D155" s="26"/>
      <c r="E155" s="26"/>
      <c r="F155" s="26"/>
      <c r="G155" s="26"/>
    </row>
    <row r="156" spans="1:7" s="14" customFormat="1">
      <c r="A156" s="25" t="s">
        <v>24</v>
      </c>
      <c r="B156" s="26"/>
      <c r="C156" s="26"/>
      <c r="D156" s="26"/>
      <c r="E156" s="26"/>
      <c r="F156" s="26"/>
      <c r="G156" s="26"/>
    </row>
    <row r="157" spans="1:7" s="14" customFormat="1">
      <c r="A157" s="61" t="s">
        <v>140</v>
      </c>
      <c r="B157" s="26"/>
      <c r="C157" s="26"/>
      <c r="D157" s="26"/>
      <c r="E157" s="26"/>
      <c r="F157" s="26"/>
      <c r="G157" s="26"/>
    </row>
    <row r="158" spans="1:7" s="14" customFormat="1">
      <c r="A158" s="16" t="s">
        <v>145</v>
      </c>
      <c r="B158" s="30">
        <f>1500000*0.05</f>
        <v>75000</v>
      </c>
      <c r="C158" s="26"/>
      <c r="D158" s="26"/>
      <c r="E158" s="26"/>
      <c r="F158" s="26"/>
      <c r="G158" s="16" t="s">
        <v>146</v>
      </c>
    </row>
    <row r="159" spans="1:7" s="14" customFormat="1">
      <c r="A159" s="27" t="s">
        <v>141</v>
      </c>
      <c r="B159" s="30">
        <v>-20000</v>
      </c>
      <c r="C159" s="26"/>
      <c r="D159" s="26"/>
      <c r="E159" s="26"/>
      <c r="F159" s="26"/>
      <c r="G159" s="28"/>
    </row>
    <row r="160" spans="1:7" s="14" customFormat="1">
      <c r="A160" s="64" t="s">
        <v>147</v>
      </c>
      <c r="B160" s="48">
        <f>2000000*0.05</f>
        <v>100000</v>
      </c>
      <c r="C160" s="26"/>
      <c r="D160" s="26"/>
      <c r="E160" s="26"/>
      <c r="F160" s="26"/>
      <c r="G160" s="16" t="s">
        <v>148</v>
      </c>
    </row>
    <row r="161" spans="1:7" s="14" customFormat="1">
      <c r="A161" s="16" t="s">
        <v>149</v>
      </c>
      <c r="B161" s="30">
        <f>SUM(B158:B160)</f>
        <v>155000</v>
      </c>
      <c r="C161" s="26"/>
      <c r="D161" s="26"/>
      <c r="E161" s="26"/>
      <c r="F161" s="26"/>
      <c r="G161" s="28"/>
    </row>
    <row r="162" spans="1:7" s="14" customFormat="1">
      <c r="A162" s="16" t="s">
        <v>150</v>
      </c>
      <c r="B162" s="30">
        <f>+B161-B158</f>
        <v>80000</v>
      </c>
      <c r="C162" s="26"/>
      <c r="D162" s="26"/>
      <c r="E162" s="26"/>
      <c r="F162" s="26"/>
      <c r="G162" s="16" t="s">
        <v>151</v>
      </c>
    </row>
    <row r="163" spans="1:7" s="14" customFormat="1">
      <c r="A163" s="25" t="s">
        <v>152</v>
      </c>
      <c r="B163" s="31">
        <f>+B158*0.25</f>
        <v>18750</v>
      </c>
      <c r="C163" s="26"/>
      <c r="D163" s="26"/>
      <c r="E163" s="26"/>
      <c r="F163" s="26"/>
      <c r="G163" s="16" t="s">
        <v>154</v>
      </c>
    </row>
    <row r="164" spans="1:7" s="14" customFormat="1">
      <c r="A164" s="25" t="s">
        <v>153</v>
      </c>
      <c r="B164" s="31">
        <f>+B161*0.28</f>
        <v>43400.000000000007</v>
      </c>
      <c r="C164" s="26"/>
      <c r="D164" s="26"/>
      <c r="E164" s="26"/>
      <c r="F164" s="26"/>
      <c r="G164" s="16" t="s">
        <v>156</v>
      </c>
    </row>
    <row r="165" spans="1:7" s="14" customFormat="1">
      <c r="A165" s="25" t="s">
        <v>155</v>
      </c>
      <c r="B165" s="30"/>
      <c r="C165" s="26"/>
      <c r="D165" s="26"/>
      <c r="E165" s="26"/>
      <c r="F165" s="26"/>
      <c r="G165" s="26"/>
    </row>
    <row r="166" spans="1:7" s="14" customFormat="1"/>
  </sheetData>
  <sheetProtection password="D3EB" sheet="1" objects="1" scenarios="1"/>
  <phoneticPr fontId="4" type="noConversion"/>
  <pageMargins left="0.75" right="0.75" top="1" bottom="1" header="0.5" footer="0.5"/>
  <pageSetup paperSize="9" scale="61" orientation="portrait" r:id="rId1"/>
  <headerFooter alignWithMargins="0"/>
  <rowBreaks count="1" manualBreakCount="1">
    <brk id="65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79"/>
  <sheetViews>
    <sheetView rightToLeft="1" workbookViewId="0">
      <selection activeCell="B18" sqref="B18"/>
    </sheetView>
  </sheetViews>
  <sheetFormatPr defaultRowHeight="14.25"/>
  <cols>
    <col min="1" max="1" width="23.140625" style="68" customWidth="1"/>
    <col min="2" max="2" width="23.5703125" style="68" customWidth="1"/>
    <col min="3" max="3" width="28.5703125" style="68" customWidth="1"/>
    <col min="4" max="4" width="30.5703125" style="68" customWidth="1"/>
    <col min="5" max="5" width="23.28515625" style="68" bestFit="1" customWidth="1"/>
    <col min="6" max="6" width="17.42578125" style="68" bestFit="1" customWidth="1"/>
    <col min="7" max="7" width="16.7109375" style="68" customWidth="1"/>
    <col min="8" max="8" width="17.85546875" style="68" customWidth="1"/>
    <col min="9" max="9" width="12.140625" style="68" customWidth="1"/>
    <col min="10" max="10" width="9.140625" style="68"/>
    <col min="11" max="11" width="14.28515625" style="68" bestFit="1" customWidth="1"/>
    <col min="12" max="12" width="9.140625" style="68"/>
    <col min="13" max="13" width="13" style="68" customWidth="1"/>
    <col min="14" max="14" width="12.7109375" style="68" customWidth="1"/>
    <col min="15" max="256" width="9.140625" style="68"/>
    <col min="257" max="257" width="23.140625" style="68" customWidth="1"/>
    <col min="258" max="258" width="23.5703125" style="68" customWidth="1"/>
    <col min="259" max="259" width="28.5703125" style="68" customWidth="1"/>
    <col min="260" max="260" width="30.5703125" style="68" customWidth="1"/>
    <col min="261" max="261" width="23.28515625" style="68" bestFit="1" customWidth="1"/>
    <col min="262" max="262" width="17.42578125" style="68" bestFit="1" customWidth="1"/>
    <col min="263" max="263" width="16.7109375" style="68" customWidth="1"/>
    <col min="264" max="264" width="17.85546875" style="68" customWidth="1"/>
    <col min="265" max="265" width="12.140625" style="68" customWidth="1"/>
    <col min="266" max="266" width="9.140625" style="68"/>
    <col min="267" max="267" width="14.28515625" style="68" bestFit="1" customWidth="1"/>
    <col min="268" max="268" width="9.140625" style="68"/>
    <col min="269" max="269" width="13" style="68" customWidth="1"/>
    <col min="270" max="270" width="12.7109375" style="68" customWidth="1"/>
    <col min="271" max="512" width="9.140625" style="68"/>
    <col min="513" max="513" width="23.140625" style="68" customWidth="1"/>
    <col min="514" max="514" width="23.5703125" style="68" customWidth="1"/>
    <col min="515" max="515" width="28.5703125" style="68" customWidth="1"/>
    <col min="516" max="516" width="30.5703125" style="68" customWidth="1"/>
    <col min="517" max="517" width="23.28515625" style="68" bestFit="1" customWidth="1"/>
    <col min="518" max="518" width="17.42578125" style="68" bestFit="1" customWidth="1"/>
    <col min="519" max="519" width="16.7109375" style="68" customWidth="1"/>
    <col min="520" max="520" width="17.85546875" style="68" customWidth="1"/>
    <col min="521" max="521" width="12.140625" style="68" customWidth="1"/>
    <col min="522" max="522" width="9.140625" style="68"/>
    <col min="523" max="523" width="14.28515625" style="68" bestFit="1" customWidth="1"/>
    <col min="524" max="524" width="9.140625" style="68"/>
    <col min="525" max="525" width="13" style="68" customWidth="1"/>
    <col min="526" max="526" width="12.7109375" style="68" customWidth="1"/>
    <col min="527" max="768" width="9.140625" style="68"/>
    <col min="769" max="769" width="23.140625" style="68" customWidth="1"/>
    <col min="770" max="770" width="23.5703125" style="68" customWidth="1"/>
    <col min="771" max="771" width="28.5703125" style="68" customWidth="1"/>
    <col min="772" max="772" width="30.5703125" style="68" customWidth="1"/>
    <col min="773" max="773" width="23.28515625" style="68" bestFit="1" customWidth="1"/>
    <col min="774" max="774" width="17.42578125" style="68" bestFit="1" customWidth="1"/>
    <col min="775" max="775" width="16.7109375" style="68" customWidth="1"/>
    <col min="776" max="776" width="17.85546875" style="68" customWidth="1"/>
    <col min="777" max="777" width="12.140625" style="68" customWidth="1"/>
    <col min="778" max="778" width="9.140625" style="68"/>
    <col min="779" max="779" width="14.28515625" style="68" bestFit="1" customWidth="1"/>
    <col min="780" max="780" width="9.140625" style="68"/>
    <col min="781" max="781" width="13" style="68" customWidth="1"/>
    <col min="782" max="782" width="12.7109375" style="68" customWidth="1"/>
    <col min="783" max="1024" width="9.140625" style="68"/>
    <col min="1025" max="1025" width="23.140625" style="68" customWidth="1"/>
    <col min="1026" max="1026" width="23.5703125" style="68" customWidth="1"/>
    <col min="1027" max="1027" width="28.5703125" style="68" customWidth="1"/>
    <col min="1028" max="1028" width="30.5703125" style="68" customWidth="1"/>
    <col min="1029" max="1029" width="23.28515625" style="68" bestFit="1" customWidth="1"/>
    <col min="1030" max="1030" width="17.42578125" style="68" bestFit="1" customWidth="1"/>
    <col min="1031" max="1031" width="16.7109375" style="68" customWidth="1"/>
    <col min="1032" max="1032" width="17.85546875" style="68" customWidth="1"/>
    <col min="1033" max="1033" width="12.140625" style="68" customWidth="1"/>
    <col min="1034" max="1034" width="9.140625" style="68"/>
    <col min="1035" max="1035" width="14.28515625" style="68" bestFit="1" customWidth="1"/>
    <col min="1036" max="1036" width="9.140625" style="68"/>
    <col min="1037" max="1037" width="13" style="68" customWidth="1"/>
    <col min="1038" max="1038" width="12.7109375" style="68" customWidth="1"/>
    <col min="1039" max="1280" width="9.140625" style="68"/>
    <col min="1281" max="1281" width="23.140625" style="68" customWidth="1"/>
    <col min="1282" max="1282" width="23.5703125" style="68" customWidth="1"/>
    <col min="1283" max="1283" width="28.5703125" style="68" customWidth="1"/>
    <col min="1284" max="1284" width="30.5703125" style="68" customWidth="1"/>
    <col min="1285" max="1285" width="23.28515625" style="68" bestFit="1" customWidth="1"/>
    <col min="1286" max="1286" width="17.42578125" style="68" bestFit="1" customWidth="1"/>
    <col min="1287" max="1287" width="16.7109375" style="68" customWidth="1"/>
    <col min="1288" max="1288" width="17.85546875" style="68" customWidth="1"/>
    <col min="1289" max="1289" width="12.140625" style="68" customWidth="1"/>
    <col min="1290" max="1290" width="9.140625" style="68"/>
    <col min="1291" max="1291" width="14.28515625" style="68" bestFit="1" customWidth="1"/>
    <col min="1292" max="1292" width="9.140625" style="68"/>
    <col min="1293" max="1293" width="13" style="68" customWidth="1"/>
    <col min="1294" max="1294" width="12.7109375" style="68" customWidth="1"/>
    <col min="1295" max="1536" width="9.140625" style="68"/>
    <col min="1537" max="1537" width="23.140625" style="68" customWidth="1"/>
    <col min="1538" max="1538" width="23.5703125" style="68" customWidth="1"/>
    <col min="1539" max="1539" width="28.5703125" style="68" customWidth="1"/>
    <col min="1540" max="1540" width="30.5703125" style="68" customWidth="1"/>
    <col min="1541" max="1541" width="23.28515625" style="68" bestFit="1" customWidth="1"/>
    <col min="1542" max="1542" width="17.42578125" style="68" bestFit="1" customWidth="1"/>
    <col min="1543" max="1543" width="16.7109375" style="68" customWidth="1"/>
    <col min="1544" max="1544" width="17.85546875" style="68" customWidth="1"/>
    <col min="1545" max="1545" width="12.140625" style="68" customWidth="1"/>
    <col min="1546" max="1546" width="9.140625" style="68"/>
    <col min="1547" max="1547" width="14.28515625" style="68" bestFit="1" customWidth="1"/>
    <col min="1548" max="1548" width="9.140625" style="68"/>
    <col min="1549" max="1549" width="13" style="68" customWidth="1"/>
    <col min="1550" max="1550" width="12.7109375" style="68" customWidth="1"/>
    <col min="1551" max="1792" width="9.140625" style="68"/>
    <col min="1793" max="1793" width="23.140625" style="68" customWidth="1"/>
    <col min="1794" max="1794" width="23.5703125" style="68" customWidth="1"/>
    <col min="1795" max="1795" width="28.5703125" style="68" customWidth="1"/>
    <col min="1796" max="1796" width="30.5703125" style="68" customWidth="1"/>
    <col min="1797" max="1797" width="23.28515625" style="68" bestFit="1" customWidth="1"/>
    <col min="1798" max="1798" width="17.42578125" style="68" bestFit="1" customWidth="1"/>
    <col min="1799" max="1799" width="16.7109375" style="68" customWidth="1"/>
    <col min="1800" max="1800" width="17.85546875" style="68" customWidth="1"/>
    <col min="1801" max="1801" width="12.140625" style="68" customWidth="1"/>
    <col min="1802" max="1802" width="9.140625" style="68"/>
    <col min="1803" max="1803" width="14.28515625" style="68" bestFit="1" customWidth="1"/>
    <col min="1804" max="1804" width="9.140625" style="68"/>
    <col min="1805" max="1805" width="13" style="68" customWidth="1"/>
    <col min="1806" max="1806" width="12.7109375" style="68" customWidth="1"/>
    <col min="1807" max="2048" width="9.140625" style="68"/>
    <col min="2049" max="2049" width="23.140625" style="68" customWidth="1"/>
    <col min="2050" max="2050" width="23.5703125" style="68" customWidth="1"/>
    <col min="2051" max="2051" width="28.5703125" style="68" customWidth="1"/>
    <col min="2052" max="2052" width="30.5703125" style="68" customWidth="1"/>
    <col min="2053" max="2053" width="23.28515625" style="68" bestFit="1" customWidth="1"/>
    <col min="2054" max="2054" width="17.42578125" style="68" bestFit="1" customWidth="1"/>
    <col min="2055" max="2055" width="16.7109375" style="68" customWidth="1"/>
    <col min="2056" max="2056" width="17.85546875" style="68" customWidth="1"/>
    <col min="2057" max="2057" width="12.140625" style="68" customWidth="1"/>
    <col min="2058" max="2058" width="9.140625" style="68"/>
    <col min="2059" max="2059" width="14.28515625" style="68" bestFit="1" customWidth="1"/>
    <col min="2060" max="2060" width="9.140625" style="68"/>
    <col min="2061" max="2061" width="13" style="68" customWidth="1"/>
    <col min="2062" max="2062" width="12.7109375" style="68" customWidth="1"/>
    <col min="2063" max="2304" width="9.140625" style="68"/>
    <col min="2305" max="2305" width="23.140625" style="68" customWidth="1"/>
    <col min="2306" max="2306" width="23.5703125" style="68" customWidth="1"/>
    <col min="2307" max="2307" width="28.5703125" style="68" customWidth="1"/>
    <col min="2308" max="2308" width="30.5703125" style="68" customWidth="1"/>
    <col min="2309" max="2309" width="23.28515625" style="68" bestFit="1" customWidth="1"/>
    <col min="2310" max="2310" width="17.42578125" style="68" bestFit="1" customWidth="1"/>
    <col min="2311" max="2311" width="16.7109375" style="68" customWidth="1"/>
    <col min="2312" max="2312" width="17.85546875" style="68" customWidth="1"/>
    <col min="2313" max="2313" width="12.140625" style="68" customWidth="1"/>
    <col min="2314" max="2314" width="9.140625" style="68"/>
    <col min="2315" max="2315" width="14.28515625" style="68" bestFit="1" customWidth="1"/>
    <col min="2316" max="2316" width="9.140625" style="68"/>
    <col min="2317" max="2317" width="13" style="68" customWidth="1"/>
    <col min="2318" max="2318" width="12.7109375" style="68" customWidth="1"/>
    <col min="2319" max="2560" width="9.140625" style="68"/>
    <col min="2561" max="2561" width="23.140625" style="68" customWidth="1"/>
    <col min="2562" max="2562" width="23.5703125" style="68" customWidth="1"/>
    <col min="2563" max="2563" width="28.5703125" style="68" customWidth="1"/>
    <col min="2564" max="2564" width="30.5703125" style="68" customWidth="1"/>
    <col min="2565" max="2565" width="23.28515625" style="68" bestFit="1" customWidth="1"/>
    <col min="2566" max="2566" width="17.42578125" style="68" bestFit="1" customWidth="1"/>
    <col min="2567" max="2567" width="16.7109375" style="68" customWidth="1"/>
    <col min="2568" max="2568" width="17.85546875" style="68" customWidth="1"/>
    <col min="2569" max="2569" width="12.140625" style="68" customWidth="1"/>
    <col min="2570" max="2570" width="9.140625" style="68"/>
    <col min="2571" max="2571" width="14.28515625" style="68" bestFit="1" customWidth="1"/>
    <col min="2572" max="2572" width="9.140625" style="68"/>
    <col min="2573" max="2573" width="13" style="68" customWidth="1"/>
    <col min="2574" max="2574" width="12.7109375" style="68" customWidth="1"/>
    <col min="2575" max="2816" width="9.140625" style="68"/>
    <col min="2817" max="2817" width="23.140625" style="68" customWidth="1"/>
    <col min="2818" max="2818" width="23.5703125" style="68" customWidth="1"/>
    <col min="2819" max="2819" width="28.5703125" style="68" customWidth="1"/>
    <col min="2820" max="2820" width="30.5703125" style="68" customWidth="1"/>
    <col min="2821" max="2821" width="23.28515625" style="68" bestFit="1" customWidth="1"/>
    <col min="2822" max="2822" width="17.42578125" style="68" bestFit="1" customWidth="1"/>
    <col min="2823" max="2823" width="16.7109375" style="68" customWidth="1"/>
    <col min="2824" max="2824" width="17.85546875" style="68" customWidth="1"/>
    <col min="2825" max="2825" width="12.140625" style="68" customWidth="1"/>
    <col min="2826" max="2826" width="9.140625" style="68"/>
    <col min="2827" max="2827" width="14.28515625" style="68" bestFit="1" customWidth="1"/>
    <col min="2828" max="2828" width="9.140625" style="68"/>
    <col min="2829" max="2829" width="13" style="68" customWidth="1"/>
    <col min="2830" max="2830" width="12.7109375" style="68" customWidth="1"/>
    <col min="2831" max="3072" width="9.140625" style="68"/>
    <col min="3073" max="3073" width="23.140625" style="68" customWidth="1"/>
    <col min="3074" max="3074" width="23.5703125" style="68" customWidth="1"/>
    <col min="3075" max="3075" width="28.5703125" style="68" customWidth="1"/>
    <col min="3076" max="3076" width="30.5703125" style="68" customWidth="1"/>
    <col min="3077" max="3077" width="23.28515625" style="68" bestFit="1" customWidth="1"/>
    <col min="3078" max="3078" width="17.42578125" style="68" bestFit="1" customWidth="1"/>
    <col min="3079" max="3079" width="16.7109375" style="68" customWidth="1"/>
    <col min="3080" max="3080" width="17.85546875" style="68" customWidth="1"/>
    <col min="3081" max="3081" width="12.140625" style="68" customWidth="1"/>
    <col min="3082" max="3082" width="9.140625" style="68"/>
    <col min="3083" max="3083" width="14.28515625" style="68" bestFit="1" customWidth="1"/>
    <col min="3084" max="3084" width="9.140625" style="68"/>
    <col min="3085" max="3085" width="13" style="68" customWidth="1"/>
    <col min="3086" max="3086" width="12.7109375" style="68" customWidth="1"/>
    <col min="3087" max="3328" width="9.140625" style="68"/>
    <col min="3329" max="3329" width="23.140625" style="68" customWidth="1"/>
    <col min="3330" max="3330" width="23.5703125" style="68" customWidth="1"/>
    <col min="3331" max="3331" width="28.5703125" style="68" customWidth="1"/>
    <col min="3332" max="3332" width="30.5703125" style="68" customWidth="1"/>
    <col min="3333" max="3333" width="23.28515625" style="68" bestFit="1" customWidth="1"/>
    <col min="3334" max="3334" width="17.42578125" style="68" bestFit="1" customWidth="1"/>
    <col min="3335" max="3335" width="16.7109375" style="68" customWidth="1"/>
    <col min="3336" max="3336" width="17.85546875" style="68" customWidth="1"/>
    <col min="3337" max="3337" width="12.140625" style="68" customWidth="1"/>
    <col min="3338" max="3338" width="9.140625" style="68"/>
    <col min="3339" max="3339" width="14.28515625" style="68" bestFit="1" customWidth="1"/>
    <col min="3340" max="3340" width="9.140625" style="68"/>
    <col min="3341" max="3341" width="13" style="68" customWidth="1"/>
    <col min="3342" max="3342" width="12.7109375" style="68" customWidth="1"/>
    <col min="3343" max="3584" width="9.140625" style="68"/>
    <col min="3585" max="3585" width="23.140625" style="68" customWidth="1"/>
    <col min="3586" max="3586" width="23.5703125" style="68" customWidth="1"/>
    <col min="3587" max="3587" width="28.5703125" style="68" customWidth="1"/>
    <col min="3588" max="3588" width="30.5703125" style="68" customWidth="1"/>
    <col min="3589" max="3589" width="23.28515625" style="68" bestFit="1" customWidth="1"/>
    <col min="3590" max="3590" width="17.42578125" style="68" bestFit="1" customWidth="1"/>
    <col min="3591" max="3591" width="16.7109375" style="68" customWidth="1"/>
    <col min="3592" max="3592" width="17.85546875" style="68" customWidth="1"/>
    <col min="3593" max="3593" width="12.140625" style="68" customWidth="1"/>
    <col min="3594" max="3594" width="9.140625" style="68"/>
    <col min="3595" max="3595" width="14.28515625" style="68" bestFit="1" customWidth="1"/>
    <col min="3596" max="3596" width="9.140625" style="68"/>
    <col min="3597" max="3597" width="13" style="68" customWidth="1"/>
    <col min="3598" max="3598" width="12.7109375" style="68" customWidth="1"/>
    <col min="3599" max="3840" width="9.140625" style="68"/>
    <col min="3841" max="3841" width="23.140625" style="68" customWidth="1"/>
    <col min="3842" max="3842" width="23.5703125" style="68" customWidth="1"/>
    <col min="3843" max="3843" width="28.5703125" style="68" customWidth="1"/>
    <col min="3844" max="3844" width="30.5703125" style="68" customWidth="1"/>
    <col min="3845" max="3845" width="23.28515625" style="68" bestFit="1" customWidth="1"/>
    <col min="3846" max="3846" width="17.42578125" style="68" bestFit="1" customWidth="1"/>
    <col min="3847" max="3847" width="16.7109375" style="68" customWidth="1"/>
    <col min="3848" max="3848" width="17.85546875" style="68" customWidth="1"/>
    <col min="3849" max="3849" width="12.140625" style="68" customWidth="1"/>
    <col min="3850" max="3850" width="9.140625" style="68"/>
    <col min="3851" max="3851" width="14.28515625" style="68" bestFit="1" customWidth="1"/>
    <col min="3852" max="3852" width="9.140625" style="68"/>
    <col min="3853" max="3853" width="13" style="68" customWidth="1"/>
    <col min="3854" max="3854" width="12.7109375" style="68" customWidth="1"/>
    <col min="3855" max="4096" width="9.140625" style="68"/>
    <col min="4097" max="4097" width="23.140625" style="68" customWidth="1"/>
    <col min="4098" max="4098" width="23.5703125" style="68" customWidth="1"/>
    <col min="4099" max="4099" width="28.5703125" style="68" customWidth="1"/>
    <col min="4100" max="4100" width="30.5703125" style="68" customWidth="1"/>
    <col min="4101" max="4101" width="23.28515625" style="68" bestFit="1" customWidth="1"/>
    <col min="4102" max="4102" width="17.42578125" style="68" bestFit="1" customWidth="1"/>
    <col min="4103" max="4103" width="16.7109375" style="68" customWidth="1"/>
    <col min="4104" max="4104" width="17.85546875" style="68" customWidth="1"/>
    <col min="4105" max="4105" width="12.140625" style="68" customWidth="1"/>
    <col min="4106" max="4106" width="9.140625" style="68"/>
    <col min="4107" max="4107" width="14.28515625" style="68" bestFit="1" customWidth="1"/>
    <col min="4108" max="4108" width="9.140625" style="68"/>
    <col min="4109" max="4109" width="13" style="68" customWidth="1"/>
    <col min="4110" max="4110" width="12.7109375" style="68" customWidth="1"/>
    <col min="4111" max="4352" width="9.140625" style="68"/>
    <col min="4353" max="4353" width="23.140625" style="68" customWidth="1"/>
    <col min="4354" max="4354" width="23.5703125" style="68" customWidth="1"/>
    <col min="4355" max="4355" width="28.5703125" style="68" customWidth="1"/>
    <col min="4356" max="4356" width="30.5703125" style="68" customWidth="1"/>
    <col min="4357" max="4357" width="23.28515625" style="68" bestFit="1" customWidth="1"/>
    <col min="4358" max="4358" width="17.42578125" style="68" bestFit="1" customWidth="1"/>
    <col min="4359" max="4359" width="16.7109375" style="68" customWidth="1"/>
    <col min="4360" max="4360" width="17.85546875" style="68" customWidth="1"/>
    <col min="4361" max="4361" width="12.140625" style="68" customWidth="1"/>
    <col min="4362" max="4362" width="9.140625" style="68"/>
    <col min="4363" max="4363" width="14.28515625" style="68" bestFit="1" customWidth="1"/>
    <col min="4364" max="4364" width="9.140625" style="68"/>
    <col min="4365" max="4365" width="13" style="68" customWidth="1"/>
    <col min="4366" max="4366" width="12.7109375" style="68" customWidth="1"/>
    <col min="4367" max="4608" width="9.140625" style="68"/>
    <col min="4609" max="4609" width="23.140625" style="68" customWidth="1"/>
    <col min="4610" max="4610" width="23.5703125" style="68" customWidth="1"/>
    <col min="4611" max="4611" width="28.5703125" style="68" customWidth="1"/>
    <col min="4612" max="4612" width="30.5703125" style="68" customWidth="1"/>
    <col min="4613" max="4613" width="23.28515625" style="68" bestFit="1" customWidth="1"/>
    <col min="4614" max="4614" width="17.42578125" style="68" bestFit="1" customWidth="1"/>
    <col min="4615" max="4615" width="16.7109375" style="68" customWidth="1"/>
    <col min="4616" max="4616" width="17.85546875" style="68" customWidth="1"/>
    <col min="4617" max="4617" width="12.140625" style="68" customWidth="1"/>
    <col min="4618" max="4618" width="9.140625" style="68"/>
    <col min="4619" max="4619" width="14.28515625" style="68" bestFit="1" customWidth="1"/>
    <col min="4620" max="4620" width="9.140625" style="68"/>
    <col min="4621" max="4621" width="13" style="68" customWidth="1"/>
    <col min="4622" max="4622" width="12.7109375" style="68" customWidth="1"/>
    <col min="4623" max="4864" width="9.140625" style="68"/>
    <col min="4865" max="4865" width="23.140625" style="68" customWidth="1"/>
    <col min="4866" max="4866" width="23.5703125" style="68" customWidth="1"/>
    <col min="4867" max="4867" width="28.5703125" style="68" customWidth="1"/>
    <col min="4868" max="4868" width="30.5703125" style="68" customWidth="1"/>
    <col min="4869" max="4869" width="23.28515625" style="68" bestFit="1" customWidth="1"/>
    <col min="4870" max="4870" width="17.42578125" style="68" bestFit="1" customWidth="1"/>
    <col min="4871" max="4871" width="16.7109375" style="68" customWidth="1"/>
    <col min="4872" max="4872" width="17.85546875" style="68" customWidth="1"/>
    <col min="4873" max="4873" width="12.140625" style="68" customWidth="1"/>
    <col min="4874" max="4874" width="9.140625" style="68"/>
    <col min="4875" max="4875" width="14.28515625" style="68" bestFit="1" customWidth="1"/>
    <col min="4876" max="4876" width="9.140625" style="68"/>
    <col min="4877" max="4877" width="13" style="68" customWidth="1"/>
    <col min="4878" max="4878" width="12.7109375" style="68" customWidth="1"/>
    <col min="4879" max="5120" width="9.140625" style="68"/>
    <col min="5121" max="5121" width="23.140625" style="68" customWidth="1"/>
    <col min="5122" max="5122" width="23.5703125" style="68" customWidth="1"/>
    <col min="5123" max="5123" width="28.5703125" style="68" customWidth="1"/>
    <col min="5124" max="5124" width="30.5703125" style="68" customWidth="1"/>
    <col min="5125" max="5125" width="23.28515625" style="68" bestFit="1" customWidth="1"/>
    <col min="5126" max="5126" width="17.42578125" style="68" bestFit="1" customWidth="1"/>
    <col min="5127" max="5127" width="16.7109375" style="68" customWidth="1"/>
    <col min="5128" max="5128" width="17.85546875" style="68" customWidth="1"/>
    <col min="5129" max="5129" width="12.140625" style="68" customWidth="1"/>
    <col min="5130" max="5130" width="9.140625" style="68"/>
    <col min="5131" max="5131" width="14.28515625" style="68" bestFit="1" customWidth="1"/>
    <col min="5132" max="5132" width="9.140625" style="68"/>
    <col min="5133" max="5133" width="13" style="68" customWidth="1"/>
    <col min="5134" max="5134" width="12.7109375" style="68" customWidth="1"/>
    <col min="5135" max="5376" width="9.140625" style="68"/>
    <col min="5377" max="5377" width="23.140625" style="68" customWidth="1"/>
    <col min="5378" max="5378" width="23.5703125" style="68" customWidth="1"/>
    <col min="5379" max="5379" width="28.5703125" style="68" customWidth="1"/>
    <col min="5380" max="5380" width="30.5703125" style="68" customWidth="1"/>
    <col min="5381" max="5381" width="23.28515625" style="68" bestFit="1" customWidth="1"/>
    <col min="5382" max="5382" width="17.42578125" style="68" bestFit="1" customWidth="1"/>
    <col min="5383" max="5383" width="16.7109375" style="68" customWidth="1"/>
    <col min="5384" max="5384" width="17.85546875" style="68" customWidth="1"/>
    <col min="5385" max="5385" width="12.140625" style="68" customWidth="1"/>
    <col min="5386" max="5386" width="9.140625" style="68"/>
    <col min="5387" max="5387" width="14.28515625" style="68" bestFit="1" customWidth="1"/>
    <col min="5388" max="5388" width="9.140625" style="68"/>
    <col min="5389" max="5389" width="13" style="68" customWidth="1"/>
    <col min="5390" max="5390" width="12.7109375" style="68" customWidth="1"/>
    <col min="5391" max="5632" width="9.140625" style="68"/>
    <col min="5633" max="5633" width="23.140625" style="68" customWidth="1"/>
    <col min="5634" max="5634" width="23.5703125" style="68" customWidth="1"/>
    <col min="5635" max="5635" width="28.5703125" style="68" customWidth="1"/>
    <col min="5636" max="5636" width="30.5703125" style="68" customWidth="1"/>
    <col min="5637" max="5637" width="23.28515625" style="68" bestFit="1" customWidth="1"/>
    <col min="5638" max="5638" width="17.42578125" style="68" bestFit="1" customWidth="1"/>
    <col min="5639" max="5639" width="16.7109375" style="68" customWidth="1"/>
    <col min="5640" max="5640" width="17.85546875" style="68" customWidth="1"/>
    <col min="5641" max="5641" width="12.140625" style="68" customWidth="1"/>
    <col min="5642" max="5642" width="9.140625" style="68"/>
    <col min="5643" max="5643" width="14.28515625" style="68" bestFit="1" customWidth="1"/>
    <col min="5644" max="5644" width="9.140625" style="68"/>
    <col min="5645" max="5645" width="13" style="68" customWidth="1"/>
    <col min="5646" max="5646" width="12.7109375" style="68" customWidth="1"/>
    <col min="5647" max="5888" width="9.140625" style="68"/>
    <col min="5889" max="5889" width="23.140625" style="68" customWidth="1"/>
    <col min="5890" max="5890" width="23.5703125" style="68" customWidth="1"/>
    <col min="5891" max="5891" width="28.5703125" style="68" customWidth="1"/>
    <col min="5892" max="5892" width="30.5703125" style="68" customWidth="1"/>
    <col min="5893" max="5893" width="23.28515625" style="68" bestFit="1" customWidth="1"/>
    <col min="5894" max="5894" width="17.42578125" style="68" bestFit="1" customWidth="1"/>
    <col min="5895" max="5895" width="16.7109375" style="68" customWidth="1"/>
    <col min="5896" max="5896" width="17.85546875" style="68" customWidth="1"/>
    <col min="5897" max="5897" width="12.140625" style="68" customWidth="1"/>
    <col min="5898" max="5898" width="9.140625" style="68"/>
    <col min="5899" max="5899" width="14.28515625" style="68" bestFit="1" customWidth="1"/>
    <col min="5900" max="5900" width="9.140625" style="68"/>
    <col min="5901" max="5901" width="13" style="68" customWidth="1"/>
    <col min="5902" max="5902" width="12.7109375" style="68" customWidth="1"/>
    <col min="5903" max="6144" width="9.140625" style="68"/>
    <col min="6145" max="6145" width="23.140625" style="68" customWidth="1"/>
    <col min="6146" max="6146" width="23.5703125" style="68" customWidth="1"/>
    <col min="6147" max="6147" width="28.5703125" style="68" customWidth="1"/>
    <col min="6148" max="6148" width="30.5703125" style="68" customWidth="1"/>
    <col min="6149" max="6149" width="23.28515625" style="68" bestFit="1" customWidth="1"/>
    <col min="6150" max="6150" width="17.42578125" style="68" bestFit="1" customWidth="1"/>
    <col min="6151" max="6151" width="16.7109375" style="68" customWidth="1"/>
    <col min="6152" max="6152" width="17.85546875" style="68" customWidth="1"/>
    <col min="6153" max="6153" width="12.140625" style="68" customWidth="1"/>
    <col min="6154" max="6154" width="9.140625" style="68"/>
    <col min="6155" max="6155" width="14.28515625" style="68" bestFit="1" customWidth="1"/>
    <col min="6156" max="6156" width="9.140625" style="68"/>
    <col min="6157" max="6157" width="13" style="68" customWidth="1"/>
    <col min="6158" max="6158" width="12.7109375" style="68" customWidth="1"/>
    <col min="6159" max="6400" width="9.140625" style="68"/>
    <col min="6401" max="6401" width="23.140625" style="68" customWidth="1"/>
    <col min="6402" max="6402" width="23.5703125" style="68" customWidth="1"/>
    <col min="6403" max="6403" width="28.5703125" style="68" customWidth="1"/>
    <col min="6404" max="6404" width="30.5703125" style="68" customWidth="1"/>
    <col min="6405" max="6405" width="23.28515625" style="68" bestFit="1" customWidth="1"/>
    <col min="6406" max="6406" width="17.42578125" style="68" bestFit="1" customWidth="1"/>
    <col min="6407" max="6407" width="16.7109375" style="68" customWidth="1"/>
    <col min="6408" max="6408" width="17.85546875" style="68" customWidth="1"/>
    <col min="6409" max="6409" width="12.140625" style="68" customWidth="1"/>
    <col min="6410" max="6410" width="9.140625" style="68"/>
    <col min="6411" max="6411" width="14.28515625" style="68" bestFit="1" customWidth="1"/>
    <col min="6412" max="6412" width="9.140625" style="68"/>
    <col min="6413" max="6413" width="13" style="68" customWidth="1"/>
    <col min="6414" max="6414" width="12.7109375" style="68" customWidth="1"/>
    <col min="6415" max="6656" width="9.140625" style="68"/>
    <col min="6657" max="6657" width="23.140625" style="68" customWidth="1"/>
    <col min="6658" max="6658" width="23.5703125" style="68" customWidth="1"/>
    <col min="6659" max="6659" width="28.5703125" style="68" customWidth="1"/>
    <col min="6660" max="6660" width="30.5703125" style="68" customWidth="1"/>
    <col min="6661" max="6661" width="23.28515625" style="68" bestFit="1" customWidth="1"/>
    <col min="6662" max="6662" width="17.42578125" style="68" bestFit="1" customWidth="1"/>
    <col min="6663" max="6663" width="16.7109375" style="68" customWidth="1"/>
    <col min="6664" max="6664" width="17.85546875" style="68" customWidth="1"/>
    <col min="6665" max="6665" width="12.140625" style="68" customWidth="1"/>
    <col min="6666" max="6666" width="9.140625" style="68"/>
    <col min="6667" max="6667" width="14.28515625" style="68" bestFit="1" customWidth="1"/>
    <col min="6668" max="6668" width="9.140625" style="68"/>
    <col min="6669" max="6669" width="13" style="68" customWidth="1"/>
    <col min="6670" max="6670" width="12.7109375" style="68" customWidth="1"/>
    <col min="6671" max="6912" width="9.140625" style="68"/>
    <col min="6913" max="6913" width="23.140625" style="68" customWidth="1"/>
    <col min="6914" max="6914" width="23.5703125" style="68" customWidth="1"/>
    <col min="6915" max="6915" width="28.5703125" style="68" customWidth="1"/>
    <col min="6916" max="6916" width="30.5703125" style="68" customWidth="1"/>
    <col min="6917" max="6917" width="23.28515625" style="68" bestFit="1" customWidth="1"/>
    <col min="6918" max="6918" width="17.42578125" style="68" bestFit="1" customWidth="1"/>
    <col min="6919" max="6919" width="16.7109375" style="68" customWidth="1"/>
    <col min="6920" max="6920" width="17.85546875" style="68" customWidth="1"/>
    <col min="6921" max="6921" width="12.140625" style="68" customWidth="1"/>
    <col min="6922" max="6922" width="9.140625" style="68"/>
    <col min="6923" max="6923" width="14.28515625" style="68" bestFit="1" customWidth="1"/>
    <col min="6924" max="6924" width="9.140625" style="68"/>
    <col min="6925" max="6925" width="13" style="68" customWidth="1"/>
    <col min="6926" max="6926" width="12.7109375" style="68" customWidth="1"/>
    <col min="6927" max="7168" width="9.140625" style="68"/>
    <col min="7169" max="7169" width="23.140625" style="68" customWidth="1"/>
    <col min="7170" max="7170" width="23.5703125" style="68" customWidth="1"/>
    <col min="7171" max="7171" width="28.5703125" style="68" customWidth="1"/>
    <col min="7172" max="7172" width="30.5703125" style="68" customWidth="1"/>
    <col min="7173" max="7173" width="23.28515625" style="68" bestFit="1" customWidth="1"/>
    <col min="7174" max="7174" width="17.42578125" style="68" bestFit="1" customWidth="1"/>
    <col min="7175" max="7175" width="16.7109375" style="68" customWidth="1"/>
    <col min="7176" max="7176" width="17.85546875" style="68" customWidth="1"/>
    <col min="7177" max="7177" width="12.140625" style="68" customWidth="1"/>
    <col min="7178" max="7178" width="9.140625" style="68"/>
    <col min="7179" max="7179" width="14.28515625" style="68" bestFit="1" customWidth="1"/>
    <col min="7180" max="7180" width="9.140625" style="68"/>
    <col min="7181" max="7181" width="13" style="68" customWidth="1"/>
    <col min="7182" max="7182" width="12.7109375" style="68" customWidth="1"/>
    <col min="7183" max="7424" width="9.140625" style="68"/>
    <col min="7425" max="7425" width="23.140625" style="68" customWidth="1"/>
    <col min="7426" max="7426" width="23.5703125" style="68" customWidth="1"/>
    <col min="7427" max="7427" width="28.5703125" style="68" customWidth="1"/>
    <col min="7428" max="7428" width="30.5703125" style="68" customWidth="1"/>
    <col min="7429" max="7429" width="23.28515625" style="68" bestFit="1" customWidth="1"/>
    <col min="7430" max="7430" width="17.42578125" style="68" bestFit="1" customWidth="1"/>
    <col min="7431" max="7431" width="16.7109375" style="68" customWidth="1"/>
    <col min="7432" max="7432" width="17.85546875" style="68" customWidth="1"/>
    <col min="7433" max="7433" width="12.140625" style="68" customWidth="1"/>
    <col min="7434" max="7434" width="9.140625" style="68"/>
    <col min="7435" max="7435" width="14.28515625" style="68" bestFit="1" customWidth="1"/>
    <col min="7436" max="7436" width="9.140625" style="68"/>
    <col min="7437" max="7437" width="13" style="68" customWidth="1"/>
    <col min="7438" max="7438" width="12.7109375" style="68" customWidth="1"/>
    <col min="7439" max="7680" width="9.140625" style="68"/>
    <col min="7681" max="7681" width="23.140625" style="68" customWidth="1"/>
    <col min="7682" max="7682" width="23.5703125" style="68" customWidth="1"/>
    <col min="7683" max="7683" width="28.5703125" style="68" customWidth="1"/>
    <col min="7684" max="7684" width="30.5703125" style="68" customWidth="1"/>
    <col min="7685" max="7685" width="23.28515625" style="68" bestFit="1" customWidth="1"/>
    <col min="7686" max="7686" width="17.42578125" style="68" bestFit="1" customWidth="1"/>
    <col min="7687" max="7687" width="16.7109375" style="68" customWidth="1"/>
    <col min="7688" max="7688" width="17.85546875" style="68" customWidth="1"/>
    <col min="7689" max="7689" width="12.140625" style="68" customWidth="1"/>
    <col min="7690" max="7690" width="9.140625" style="68"/>
    <col min="7691" max="7691" width="14.28515625" style="68" bestFit="1" customWidth="1"/>
    <col min="7692" max="7692" width="9.140625" style="68"/>
    <col min="7693" max="7693" width="13" style="68" customWidth="1"/>
    <col min="7694" max="7694" width="12.7109375" style="68" customWidth="1"/>
    <col min="7695" max="7936" width="9.140625" style="68"/>
    <col min="7937" max="7937" width="23.140625" style="68" customWidth="1"/>
    <col min="7938" max="7938" width="23.5703125" style="68" customWidth="1"/>
    <col min="7939" max="7939" width="28.5703125" style="68" customWidth="1"/>
    <col min="7940" max="7940" width="30.5703125" style="68" customWidth="1"/>
    <col min="7941" max="7941" width="23.28515625" style="68" bestFit="1" customWidth="1"/>
    <col min="7942" max="7942" width="17.42578125" style="68" bestFit="1" customWidth="1"/>
    <col min="7943" max="7943" width="16.7109375" style="68" customWidth="1"/>
    <col min="7944" max="7944" width="17.85546875" style="68" customWidth="1"/>
    <col min="7945" max="7945" width="12.140625" style="68" customWidth="1"/>
    <col min="7946" max="7946" width="9.140625" style="68"/>
    <col min="7947" max="7947" width="14.28515625" style="68" bestFit="1" customWidth="1"/>
    <col min="7948" max="7948" width="9.140625" style="68"/>
    <col min="7949" max="7949" width="13" style="68" customWidth="1"/>
    <col min="7950" max="7950" width="12.7109375" style="68" customWidth="1"/>
    <col min="7951" max="8192" width="9.140625" style="68"/>
    <col min="8193" max="8193" width="23.140625" style="68" customWidth="1"/>
    <col min="8194" max="8194" width="23.5703125" style="68" customWidth="1"/>
    <col min="8195" max="8195" width="28.5703125" style="68" customWidth="1"/>
    <col min="8196" max="8196" width="30.5703125" style="68" customWidth="1"/>
    <col min="8197" max="8197" width="23.28515625" style="68" bestFit="1" customWidth="1"/>
    <col min="8198" max="8198" width="17.42578125" style="68" bestFit="1" customWidth="1"/>
    <col min="8199" max="8199" width="16.7109375" style="68" customWidth="1"/>
    <col min="8200" max="8200" width="17.85546875" style="68" customWidth="1"/>
    <col min="8201" max="8201" width="12.140625" style="68" customWidth="1"/>
    <col min="8202" max="8202" width="9.140625" style="68"/>
    <col min="8203" max="8203" width="14.28515625" style="68" bestFit="1" customWidth="1"/>
    <col min="8204" max="8204" width="9.140625" style="68"/>
    <col min="8205" max="8205" width="13" style="68" customWidth="1"/>
    <col min="8206" max="8206" width="12.7109375" style="68" customWidth="1"/>
    <col min="8207" max="8448" width="9.140625" style="68"/>
    <col min="8449" max="8449" width="23.140625" style="68" customWidth="1"/>
    <col min="8450" max="8450" width="23.5703125" style="68" customWidth="1"/>
    <col min="8451" max="8451" width="28.5703125" style="68" customWidth="1"/>
    <col min="8452" max="8452" width="30.5703125" style="68" customWidth="1"/>
    <col min="8453" max="8453" width="23.28515625" style="68" bestFit="1" customWidth="1"/>
    <col min="8454" max="8454" width="17.42578125" style="68" bestFit="1" customWidth="1"/>
    <col min="8455" max="8455" width="16.7109375" style="68" customWidth="1"/>
    <col min="8456" max="8456" width="17.85546875" style="68" customWidth="1"/>
    <col min="8457" max="8457" width="12.140625" style="68" customWidth="1"/>
    <col min="8458" max="8458" width="9.140625" style="68"/>
    <col min="8459" max="8459" width="14.28515625" style="68" bestFit="1" customWidth="1"/>
    <col min="8460" max="8460" width="9.140625" style="68"/>
    <col min="8461" max="8461" width="13" style="68" customWidth="1"/>
    <col min="8462" max="8462" width="12.7109375" style="68" customWidth="1"/>
    <col min="8463" max="8704" width="9.140625" style="68"/>
    <col min="8705" max="8705" width="23.140625" style="68" customWidth="1"/>
    <col min="8706" max="8706" width="23.5703125" style="68" customWidth="1"/>
    <col min="8707" max="8707" width="28.5703125" style="68" customWidth="1"/>
    <col min="8708" max="8708" width="30.5703125" style="68" customWidth="1"/>
    <col min="8709" max="8709" width="23.28515625" style="68" bestFit="1" customWidth="1"/>
    <col min="8710" max="8710" width="17.42578125" style="68" bestFit="1" customWidth="1"/>
    <col min="8711" max="8711" width="16.7109375" style="68" customWidth="1"/>
    <col min="8712" max="8712" width="17.85546875" style="68" customWidth="1"/>
    <col min="8713" max="8713" width="12.140625" style="68" customWidth="1"/>
    <col min="8714" max="8714" width="9.140625" style="68"/>
    <col min="8715" max="8715" width="14.28515625" style="68" bestFit="1" customWidth="1"/>
    <col min="8716" max="8716" width="9.140625" style="68"/>
    <col min="8717" max="8717" width="13" style="68" customWidth="1"/>
    <col min="8718" max="8718" width="12.7109375" style="68" customWidth="1"/>
    <col min="8719" max="8960" width="9.140625" style="68"/>
    <col min="8961" max="8961" width="23.140625" style="68" customWidth="1"/>
    <col min="8962" max="8962" width="23.5703125" style="68" customWidth="1"/>
    <col min="8963" max="8963" width="28.5703125" style="68" customWidth="1"/>
    <col min="8964" max="8964" width="30.5703125" style="68" customWidth="1"/>
    <col min="8965" max="8965" width="23.28515625" style="68" bestFit="1" customWidth="1"/>
    <col min="8966" max="8966" width="17.42578125" style="68" bestFit="1" customWidth="1"/>
    <col min="8967" max="8967" width="16.7109375" style="68" customWidth="1"/>
    <col min="8968" max="8968" width="17.85546875" style="68" customWidth="1"/>
    <col min="8969" max="8969" width="12.140625" style="68" customWidth="1"/>
    <col min="8970" max="8970" width="9.140625" style="68"/>
    <col min="8971" max="8971" width="14.28515625" style="68" bestFit="1" customWidth="1"/>
    <col min="8972" max="8972" width="9.140625" style="68"/>
    <col min="8973" max="8973" width="13" style="68" customWidth="1"/>
    <col min="8974" max="8974" width="12.7109375" style="68" customWidth="1"/>
    <col min="8975" max="9216" width="9.140625" style="68"/>
    <col min="9217" max="9217" width="23.140625" style="68" customWidth="1"/>
    <col min="9218" max="9218" width="23.5703125" style="68" customWidth="1"/>
    <col min="9219" max="9219" width="28.5703125" style="68" customWidth="1"/>
    <col min="9220" max="9220" width="30.5703125" style="68" customWidth="1"/>
    <col min="9221" max="9221" width="23.28515625" style="68" bestFit="1" customWidth="1"/>
    <col min="9222" max="9222" width="17.42578125" style="68" bestFit="1" customWidth="1"/>
    <col min="9223" max="9223" width="16.7109375" style="68" customWidth="1"/>
    <col min="9224" max="9224" width="17.85546875" style="68" customWidth="1"/>
    <col min="9225" max="9225" width="12.140625" style="68" customWidth="1"/>
    <col min="9226" max="9226" width="9.140625" style="68"/>
    <col min="9227" max="9227" width="14.28515625" style="68" bestFit="1" customWidth="1"/>
    <col min="9228" max="9228" width="9.140625" style="68"/>
    <col min="9229" max="9229" width="13" style="68" customWidth="1"/>
    <col min="9230" max="9230" width="12.7109375" style="68" customWidth="1"/>
    <col min="9231" max="9472" width="9.140625" style="68"/>
    <col min="9473" max="9473" width="23.140625" style="68" customWidth="1"/>
    <col min="9474" max="9474" width="23.5703125" style="68" customWidth="1"/>
    <col min="9475" max="9475" width="28.5703125" style="68" customWidth="1"/>
    <col min="9476" max="9476" width="30.5703125" style="68" customWidth="1"/>
    <col min="9477" max="9477" width="23.28515625" style="68" bestFit="1" customWidth="1"/>
    <col min="9478" max="9478" width="17.42578125" style="68" bestFit="1" customWidth="1"/>
    <col min="9479" max="9479" width="16.7109375" style="68" customWidth="1"/>
    <col min="9480" max="9480" width="17.85546875" style="68" customWidth="1"/>
    <col min="9481" max="9481" width="12.140625" style="68" customWidth="1"/>
    <col min="9482" max="9482" width="9.140625" style="68"/>
    <col min="9483" max="9483" width="14.28515625" style="68" bestFit="1" customWidth="1"/>
    <col min="9484" max="9484" width="9.140625" style="68"/>
    <col min="9485" max="9485" width="13" style="68" customWidth="1"/>
    <col min="9486" max="9486" width="12.7109375" style="68" customWidth="1"/>
    <col min="9487" max="9728" width="9.140625" style="68"/>
    <col min="9729" max="9729" width="23.140625" style="68" customWidth="1"/>
    <col min="9730" max="9730" width="23.5703125" style="68" customWidth="1"/>
    <col min="9731" max="9731" width="28.5703125" style="68" customWidth="1"/>
    <col min="9732" max="9732" width="30.5703125" style="68" customWidth="1"/>
    <col min="9733" max="9733" width="23.28515625" style="68" bestFit="1" customWidth="1"/>
    <col min="9734" max="9734" width="17.42578125" style="68" bestFit="1" customWidth="1"/>
    <col min="9735" max="9735" width="16.7109375" style="68" customWidth="1"/>
    <col min="9736" max="9736" width="17.85546875" style="68" customWidth="1"/>
    <col min="9737" max="9737" width="12.140625" style="68" customWidth="1"/>
    <col min="9738" max="9738" width="9.140625" style="68"/>
    <col min="9739" max="9739" width="14.28515625" style="68" bestFit="1" customWidth="1"/>
    <col min="9740" max="9740" width="9.140625" style="68"/>
    <col min="9741" max="9741" width="13" style="68" customWidth="1"/>
    <col min="9742" max="9742" width="12.7109375" style="68" customWidth="1"/>
    <col min="9743" max="9984" width="9.140625" style="68"/>
    <col min="9985" max="9985" width="23.140625" style="68" customWidth="1"/>
    <col min="9986" max="9986" width="23.5703125" style="68" customWidth="1"/>
    <col min="9987" max="9987" width="28.5703125" style="68" customWidth="1"/>
    <col min="9988" max="9988" width="30.5703125" style="68" customWidth="1"/>
    <col min="9989" max="9989" width="23.28515625" style="68" bestFit="1" customWidth="1"/>
    <col min="9990" max="9990" width="17.42578125" style="68" bestFit="1" customWidth="1"/>
    <col min="9991" max="9991" width="16.7109375" style="68" customWidth="1"/>
    <col min="9992" max="9992" width="17.85546875" style="68" customWidth="1"/>
    <col min="9993" max="9993" width="12.140625" style="68" customWidth="1"/>
    <col min="9994" max="9994" width="9.140625" style="68"/>
    <col min="9995" max="9995" width="14.28515625" style="68" bestFit="1" customWidth="1"/>
    <col min="9996" max="9996" width="9.140625" style="68"/>
    <col min="9997" max="9997" width="13" style="68" customWidth="1"/>
    <col min="9998" max="9998" width="12.7109375" style="68" customWidth="1"/>
    <col min="9999" max="10240" width="9.140625" style="68"/>
    <col min="10241" max="10241" width="23.140625" style="68" customWidth="1"/>
    <col min="10242" max="10242" width="23.5703125" style="68" customWidth="1"/>
    <col min="10243" max="10243" width="28.5703125" style="68" customWidth="1"/>
    <col min="10244" max="10244" width="30.5703125" style="68" customWidth="1"/>
    <col min="10245" max="10245" width="23.28515625" style="68" bestFit="1" customWidth="1"/>
    <col min="10246" max="10246" width="17.42578125" style="68" bestFit="1" customWidth="1"/>
    <col min="10247" max="10247" width="16.7109375" style="68" customWidth="1"/>
    <col min="10248" max="10248" width="17.85546875" style="68" customWidth="1"/>
    <col min="10249" max="10249" width="12.140625" style="68" customWidth="1"/>
    <col min="10250" max="10250" width="9.140625" style="68"/>
    <col min="10251" max="10251" width="14.28515625" style="68" bestFit="1" customWidth="1"/>
    <col min="10252" max="10252" width="9.140625" style="68"/>
    <col min="10253" max="10253" width="13" style="68" customWidth="1"/>
    <col min="10254" max="10254" width="12.7109375" style="68" customWidth="1"/>
    <col min="10255" max="10496" width="9.140625" style="68"/>
    <col min="10497" max="10497" width="23.140625" style="68" customWidth="1"/>
    <col min="10498" max="10498" width="23.5703125" style="68" customWidth="1"/>
    <col min="10499" max="10499" width="28.5703125" style="68" customWidth="1"/>
    <col min="10500" max="10500" width="30.5703125" style="68" customWidth="1"/>
    <col min="10501" max="10501" width="23.28515625" style="68" bestFit="1" customWidth="1"/>
    <col min="10502" max="10502" width="17.42578125" style="68" bestFit="1" customWidth="1"/>
    <col min="10503" max="10503" width="16.7109375" style="68" customWidth="1"/>
    <col min="10504" max="10504" width="17.85546875" style="68" customWidth="1"/>
    <col min="10505" max="10505" width="12.140625" style="68" customWidth="1"/>
    <col min="10506" max="10506" width="9.140625" style="68"/>
    <col min="10507" max="10507" width="14.28515625" style="68" bestFit="1" customWidth="1"/>
    <col min="10508" max="10508" width="9.140625" style="68"/>
    <col min="10509" max="10509" width="13" style="68" customWidth="1"/>
    <col min="10510" max="10510" width="12.7109375" style="68" customWidth="1"/>
    <col min="10511" max="10752" width="9.140625" style="68"/>
    <col min="10753" max="10753" width="23.140625" style="68" customWidth="1"/>
    <col min="10754" max="10754" width="23.5703125" style="68" customWidth="1"/>
    <col min="10755" max="10755" width="28.5703125" style="68" customWidth="1"/>
    <col min="10756" max="10756" width="30.5703125" style="68" customWidth="1"/>
    <col min="10757" max="10757" width="23.28515625" style="68" bestFit="1" customWidth="1"/>
    <col min="10758" max="10758" width="17.42578125" style="68" bestFit="1" customWidth="1"/>
    <col min="10759" max="10759" width="16.7109375" style="68" customWidth="1"/>
    <col min="10760" max="10760" width="17.85546875" style="68" customWidth="1"/>
    <col min="10761" max="10761" width="12.140625" style="68" customWidth="1"/>
    <col min="10762" max="10762" width="9.140625" style="68"/>
    <col min="10763" max="10763" width="14.28515625" style="68" bestFit="1" customWidth="1"/>
    <col min="10764" max="10764" width="9.140625" style="68"/>
    <col min="10765" max="10765" width="13" style="68" customWidth="1"/>
    <col min="10766" max="10766" width="12.7109375" style="68" customWidth="1"/>
    <col min="10767" max="11008" width="9.140625" style="68"/>
    <col min="11009" max="11009" width="23.140625" style="68" customWidth="1"/>
    <col min="11010" max="11010" width="23.5703125" style="68" customWidth="1"/>
    <col min="11011" max="11011" width="28.5703125" style="68" customWidth="1"/>
    <col min="11012" max="11012" width="30.5703125" style="68" customWidth="1"/>
    <col min="11013" max="11013" width="23.28515625" style="68" bestFit="1" customWidth="1"/>
    <col min="11014" max="11014" width="17.42578125" style="68" bestFit="1" customWidth="1"/>
    <col min="11015" max="11015" width="16.7109375" style="68" customWidth="1"/>
    <col min="11016" max="11016" width="17.85546875" style="68" customWidth="1"/>
    <col min="11017" max="11017" width="12.140625" style="68" customWidth="1"/>
    <col min="11018" max="11018" width="9.140625" style="68"/>
    <col min="11019" max="11019" width="14.28515625" style="68" bestFit="1" customWidth="1"/>
    <col min="11020" max="11020" width="9.140625" style="68"/>
    <col min="11021" max="11021" width="13" style="68" customWidth="1"/>
    <col min="11022" max="11022" width="12.7109375" style="68" customWidth="1"/>
    <col min="11023" max="11264" width="9.140625" style="68"/>
    <col min="11265" max="11265" width="23.140625" style="68" customWidth="1"/>
    <col min="11266" max="11266" width="23.5703125" style="68" customWidth="1"/>
    <col min="11267" max="11267" width="28.5703125" style="68" customWidth="1"/>
    <col min="11268" max="11268" width="30.5703125" style="68" customWidth="1"/>
    <col min="11269" max="11269" width="23.28515625" style="68" bestFit="1" customWidth="1"/>
    <col min="11270" max="11270" width="17.42578125" style="68" bestFit="1" customWidth="1"/>
    <col min="11271" max="11271" width="16.7109375" style="68" customWidth="1"/>
    <col min="11272" max="11272" width="17.85546875" style="68" customWidth="1"/>
    <col min="11273" max="11273" width="12.140625" style="68" customWidth="1"/>
    <col min="11274" max="11274" width="9.140625" style="68"/>
    <col min="11275" max="11275" width="14.28515625" style="68" bestFit="1" customWidth="1"/>
    <col min="11276" max="11276" width="9.140625" style="68"/>
    <col min="11277" max="11277" width="13" style="68" customWidth="1"/>
    <col min="11278" max="11278" width="12.7109375" style="68" customWidth="1"/>
    <col min="11279" max="11520" width="9.140625" style="68"/>
    <col min="11521" max="11521" width="23.140625" style="68" customWidth="1"/>
    <col min="11522" max="11522" width="23.5703125" style="68" customWidth="1"/>
    <col min="11523" max="11523" width="28.5703125" style="68" customWidth="1"/>
    <col min="11524" max="11524" width="30.5703125" style="68" customWidth="1"/>
    <col min="11525" max="11525" width="23.28515625" style="68" bestFit="1" customWidth="1"/>
    <col min="11526" max="11526" width="17.42578125" style="68" bestFit="1" customWidth="1"/>
    <col min="11527" max="11527" width="16.7109375" style="68" customWidth="1"/>
    <col min="11528" max="11528" width="17.85546875" style="68" customWidth="1"/>
    <col min="11529" max="11529" width="12.140625" style="68" customWidth="1"/>
    <col min="11530" max="11530" width="9.140625" style="68"/>
    <col min="11531" max="11531" width="14.28515625" style="68" bestFit="1" customWidth="1"/>
    <col min="11532" max="11532" width="9.140625" style="68"/>
    <col min="11533" max="11533" width="13" style="68" customWidth="1"/>
    <col min="11534" max="11534" width="12.7109375" style="68" customWidth="1"/>
    <col min="11535" max="11776" width="9.140625" style="68"/>
    <col min="11777" max="11777" width="23.140625" style="68" customWidth="1"/>
    <col min="11778" max="11778" width="23.5703125" style="68" customWidth="1"/>
    <col min="11779" max="11779" width="28.5703125" style="68" customWidth="1"/>
    <col min="11780" max="11780" width="30.5703125" style="68" customWidth="1"/>
    <col min="11781" max="11781" width="23.28515625" style="68" bestFit="1" customWidth="1"/>
    <col min="11782" max="11782" width="17.42578125" style="68" bestFit="1" customWidth="1"/>
    <col min="11783" max="11783" width="16.7109375" style="68" customWidth="1"/>
    <col min="11784" max="11784" width="17.85546875" style="68" customWidth="1"/>
    <col min="11785" max="11785" width="12.140625" style="68" customWidth="1"/>
    <col min="11786" max="11786" width="9.140625" style="68"/>
    <col min="11787" max="11787" width="14.28515625" style="68" bestFit="1" customWidth="1"/>
    <col min="11788" max="11788" width="9.140625" style="68"/>
    <col min="11789" max="11789" width="13" style="68" customWidth="1"/>
    <col min="11790" max="11790" width="12.7109375" style="68" customWidth="1"/>
    <col min="11791" max="12032" width="9.140625" style="68"/>
    <col min="12033" max="12033" width="23.140625" style="68" customWidth="1"/>
    <col min="12034" max="12034" width="23.5703125" style="68" customWidth="1"/>
    <col min="12035" max="12035" width="28.5703125" style="68" customWidth="1"/>
    <col min="12036" max="12036" width="30.5703125" style="68" customWidth="1"/>
    <col min="12037" max="12037" width="23.28515625" style="68" bestFit="1" customWidth="1"/>
    <col min="12038" max="12038" width="17.42578125" style="68" bestFit="1" customWidth="1"/>
    <col min="12039" max="12039" width="16.7109375" style="68" customWidth="1"/>
    <col min="12040" max="12040" width="17.85546875" style="68" customWidth="1"/>
    <col min="12041" max="12041" width="12.140625" style="68" customWidth="1"/>
    <col min="12042" max="12042" width="9.140625" style="68"/>
    <col min="12043" max="12043" width="14.28515625" style="68" bestFit="1" customWidth="1"/>
    <col min="12044" max="12044" width="9.140625" style="68"/>
    <col min="12045" max="12045" width="13" style="68" customWidth="1"/>
    <col min="12046" max="12046" width="12.7109375" style="68" customWidth="1"/>
    <col min="12047" max="12288" width="9.140625" style="68"/>
    <col min="12289" max="12289" width="23.140625" style="68" customWidth="1"/>
    <col min="12290" max="12290" width="23.5703125" style="68" customWidth="1"/>
    <col min="12291" max="12291" width="28.5703125" style="68" customWidth="1"/>
    <col min="12292" max="12292" width="30.5703125" style="68" customWidth="1"/>
    <col min="12293" max="12293" width="23.28515625" style="68" bestFit="1" customWidth="1"/>
    <col min="12294" max="12294" width="17.42578125" style="68" bestFit="1" customWidth="1"/>
    <col min="12295" max="12295" width="16.7109375" style="68" customWidth="1"/>
    <col min="12296" max="12296" width="17.85546875" style="68" customWidth="1"/>
    <col min="12297" max="12297" width="12.140625" style="68" customWidth="1"/>
    <col min="12298" max="12298" width="9.140625" style="68"/>
    <col min="12299" max="12299" width="14.28515625" style="68" bestFit="1" customWidth="1"/>
    <col min="12300" max="12300" width="9.140625" style="68"/>
    <col min="12301" max="12301" width="13" style="68" customWidth="1"/>
    <col min="12302" max="12302" width="12.7109375" style="68" customWidth="1"/>
    <col min="12303" max="12544" width="9.140625" style="68"/>
    <col min="12545" max="12545" width="23.140625" style="68" customWidth="1"/>
    <col min="12546" max="12546" width="23.5703125" style="68" customWidth="1"/>
    <col min="12547" max="12547" width="28.5703125" style="68" customWidth="1"/>
    <col min="12548" max="12548" width="30.5703125" style="68" customWidth="1"/>
    <col min="12549" max="12549" width="23.28515625" style="68" bestFit="1" customWidth="1"/>
    <col min="12550" max="12550" width="17.42578125" style="68" bestFit="1" customWidth="1"/>
    <col min="12551" max="12551" width="16.7109375" style="68" customWidth="1"/>
    <col min="12552" max="12552" width="17.85546875" style="68" customWidth="1"/>
    <col min="12553" max="12553" width="12.140625" style="68" customWidth="1"/>
    <col min="12554" max="12554" width="9.140625" style="68"/>
    <col min="12555" max="12555" width="14.28515625" style="68" bestFit="1" customWidth="1"/>
    <col min="12556" max="12556" width="9.140625" style="68"/>
    <col min="12557" max="12557" width="13" style="68" customWidth="1"/>
    <col min="12558" max="12558" width="12.7109375" style="68" customWidth="1"/>
    <col min="12559" max="12800" width="9.140625" style="68"/>
    <col min="12801" max="12801" width="23.140625" style="68" customWidth="1"/>
    <col min="12802" max="12802" width="23.5703125" style="68" customWidth="1"/>
    <col min="12803" max="12803" width="28.5703125" style="68" customWidth="1"/>
    <col min="12804" max="12804" width="30.5703125" style="68" customWidth="1"/>
    <col min="12805" max="12805" width="23.28515625" style="68" bestFit="1" customWidth="1"/>
    <col min="12806" max="12806" width="17.42578125" style="68" bestFit="1" customWidth="1"/>
    <col min="12807" max="12807" width="16.7109375" style="68" customWidth="1"/>
    <col min="12808" max="12808" width="17.85546875" style="68" customWidth="1"/>
    <col min="12809" max="12809" width="12.140625" style="68" customWidth="1"/>
    <col min="12810" max="12810" width="9.140625" style="68"/>
    <col min="12811" max="12811" width="14.28515625" style="68" bestFit="1" customWidth="1"/>
    <col min="12812" max="12812" width="9.140625" style="68"/>
    <col min="12813" max="12813" width="13" style="68" customWidth="1"/>
    <col min="12814" max="12814" width="12.7109375" style="68" customWidth="1"/>
    <col min="12815" max="13056" width="9.140625" style="68"/>
    <col min="13057" max="13057" width="23.140625" style="68" customWidth="1"/>
    <col min="13058" max="13058" width="23.5703125" style="68" customWidth="1"/>
    <col min="13059" max="13059" width="28.5703125" style="68" customWidth="1"/>
    <col min="13060" max="13060" width="30.5703125" style="68" customWidth="1"/>
    <col min="13061" max="13061" width="23.28515625" style="68" bestFit="1" customWidth="1"/>
    <col min="13062" max="13062" width="17.42578125" style="68" bestFit="1" customWidth="1"/>
    <col min="13063" max="13063" width="16.7109375" style="68" customWidth="1"/>
    <col min="13064" max="13064" width="17.85546875" style="68" customWidth="1"/>
    <col min="13065" max="13065" width="12.140625" style="68" customWidth="1"/>
    <col min="13066" max="13066" width="9.140625" style="68"/>
    <col min="13067" max="13067" width="14.28515625" style="68" bestFit="1" customWidth="1"/>
    <col min="13068" max="13068" width="9.140625" style="68"/>
    <col min="13069" max="13069" width="13" style="68" customWidth="1"/>
    <col min="13070" max="13070" width="12.7109375" style="68" customWidth="1"/>
    <col min="13071" max="13312" width="9.140625" style="68"/>
    <col min="13313" max="13313" width="23.140625" style="68" customWidth="1"/>
    <col min="13314" max="13314" width="23.5703125" style="68" customWidth="1"/>
    <col min="13315" max="13315" width="28.5703125" style="68" customWidth="1"/>
    <col min="13316" max="13316" width="30.5703125" style="68" customWidth="1"/>
    <col min="13317" max="13317" width="23.28515625" style="68" bestFit="1" customWidth="1"/>
    <col min="13318" max="13318" width="17.42578125" style="68" bestFit="1" customWidth="1"/>
    <col min="13319" max="13319" width="16.7109375" style="68" customWidth="1"/>
    <col min="13320" max="13320" width="17.85546875" style="68" customWidth="1"/>
    <col min="13321" max="13321" width="12.140625" style="68" customWidth="1"/>
    <col min="13322" max="13322" width="9.140625" style="68"/>
    <col min="13323" max="13323" width="14.28515625" style="68" bestFit="1" customWidth="1"/>
    <col min="13324" max="13324" width="9.140625" style="68"/>
    <col min="13325" max="13325" width="13" style="68" customWidth="1"/>
    <col min="13326" max="13326" width="12.7109375" style="68" customWidth="1"/>
    <col min="13327" max="13568" width="9.140625" style="68"/>
    <col min="13569" max="13569" width="23.140625" style="68" customWidth="1"/>
    <col min="13570" max="13570" width="23.5703125" style="68" customWidth="1"/>
    <col min="13571" max="13571" width="28.5703125" style="68" customWidth="1"/>
    <col min="13572" max="13572" width="30.5703125" style="68" customWidth="1"/>
    <col min="13573" max="13573" width="23.28515625" style="68" bestFit="1" customWidth="1"/>
    <col min="13574" max="13574" width="17.42578125" style="68" bestFit="1" customWidth="1"/>
    <col min="13575" max="13575" width="16.7109375" style="68" customWidth="1"/>
    <col min="13576" max="13576" width="17.85546875" style="68" customWidth="1"/>
    <col min="13577" max="13577" width="12.140625" style="68" customWidth="1"/>
    <col min="13578" max="13578" width="9.140625" style="68"/>
    <col min="13579" max="13579" width="14.28515625" style="68" bestFit="1" customWidth="1"/>
    <col min="13580" max="13580" width="9.140625" style="68"/>
    <col min="13581" max="13581" width="13" style="68" customWidth="1"/>
    <col min="13582" max="13582" width="12.7109375" style="68" customWidth="1"/>
    <col min="13583" max="13824" width="9.140625" style="68"/>
    <col min="13825" max="13825" width="23.140625" style="68" customWidth="1"/>
    <col min="13826" max="13826" width="23.5703125" style="68" customWidth="1"/>
    <col min="13827" max="13827" width="28.5703125" style="68" customWidth="1"/>
    <col min="13828" max="13828" width="30.5703125" style="68" customWidth="1"/>
    <col min="13829" max="13829" width="23.28515625" style="68" bestFit="1" customWidth="1"/>
    <col min="13830" max="13830" width="17.42578125" style="68" bestFit="1" customWidth="1"/>
    <col min="13831" max="13831" width="16.7109375" style="68" customWidth="1"/>
    <col min="13832" max="13832" width="17.85546875" style="68" customWidth="1"/>
    <col min="13833" max="13833" width="12.140625" style="68" customWidth="1"/>
    <col min="13834" max="13834" width="9.140625" style="68"/>
    <col min="13835" max="13835" width="14.28515625" style="68" bestFit="1" customWidth="1"/>
    <col min="13836" max="13836" width="9.140625" style="68"/>
    <col min="13837" max="13837" width="13" style="68" customWidth="1"/>
    <col min="13838" max="13838" width="12.7109375" style="68" customWidth="1"/>
    <col min="13839" max="14080" width="9.140625" style="68"/>
    <col min="14081" max="14081" width="23.140625" style="68" customWidth="1"/>
    <col min="14082" max="14082" width="23.5703125" style="68" customWidth="1"/>
    <col min="14083" max="14083" width="28.5703125" style="68" customWidth="1"/>
    <col min="14084" max="14084" width="30.5703125" style="68" customWidth="1"/>
    <col min="14085" max="14085" width="23.28515625" style="68" bestFit="1" customWidth="1"/>
    <col min="14086" max="14086" width="17.42578125" style="68" bestFit="1" customWidth="1"/>
    <col min="14087" max="14087" width="16.7109375" style="68" customWidth="1"/>
    <col min="14088" max="14088" width="17.85546875" style="68" customWidth="1"/>
    <col min="14089" max="14089" width="12.140625" style="68" customWidth="1"/>
    <col min="14090" max="14090" width="9.140625" style="68"/>
    <col min="14091" max="14091" width="14.28515625" style="68" bestFit="1" customWidth="1"/>
    <col min="14092" max="14092" width="9.140625" style="68"/>
    <col min="14093" max="14093" width="13" style="68" customWidth="1"/>
    <col min="14094" max="14094" width="12.7109375" style="68" customWidth="1"/>
    <col min="14095" max="14336" width="9.140625" style="68"/>
    <col min="14337" max="14337" width="23.140625" style="68" customWidth="1"/>
    <col min="14338" max="14338" width="23.5703125" style="68" customWidth="1"/>
    <col min="14339" max="14339" width="28.5703125" style="68" customWidth="1"/>
    <col min="14340" max="14340" width="30.5703125" style="68" customWidth="1"/>
    <col min="14341" max="14341" width="23.28515625" style="68" bestFit="1" customWidth="1"/>
    <col min="14342" max="14342" width="17.42578125" style="68" bestFit="1" customWidth="1"/>
    <col min="14343" max="14343" width="16.7109375" style="68" customWidth="1"/>
    <col min="14344" max="14344" width="17.85546875" style="68" customWidth="1"/>
    <col min="14345" max="14345" width="12.140625" style="68" customWidth="1"/>
    <col min="14346" max="14346" width="9.140625" style="68"/>
    <col min="14347" max="14347" width="14.28515625" style="68" bestFit="1" customWidth="1"/>
    <col min="14348" max="14348" width="9.140625" style="68"/>
    <col min="14349" max="14349" width="13" style="68" customWidth="1"/>
    <col min="14350" max="14350" width="12.7109375" style="68" customWidth="1"/>
    <col min="14351" max="14592" width="9.140625" style="68"/>
    <col min="14593" max="14593" width="23.140625" style="68" customWidth="1"/>
    <col min="14594" max="14594" width="23.5703125" style="68" customWidth="1"/>
    <col min="14595" max="14595" width="28.5703125" style="68" customWidth="1"/>
    <col min="14596" max="14596" width="30.5703125" style="68" customWidth="1"/>
    <col min="14597" max="14597" width="23.28515625" style="68" bestFit="1" customWidth="1"/>
    <col min="14598" max="14598" width="17.42578125" style="68" bestFit="1" customWidth="1"/>
    <col min="14599" max="14599" width="16.7109375" style="68" customWidth="1"/>
    <col min="14600" max="14600" width="17.85546875" style="68" customWidth="1"/>
    <col min="14601" max="14601" width="12.140625" style="68" customWidth="1"/>
    <col min="14602" max="14602" width="9.140625" style="68"/>
    <col min="14603" max="14603" width="14.28515625" style="68" bestFit="1" customWidth="1"/>
    <col min="14604" max="14604" width="9.140625" style="68"/>
    <col min="14605" max="14605" width="13" style="68" customWidth="1"/>
    <col min="14606" max="14606" width="12.7109375" style="68" customWidth="1"/>
    <col min="14607" max="14848" width="9.140625" style="68"/>
    <col min="14849" max="14849" width="23.140625" style="68" customWidth="1"/>
    <col min="14850" max="14850" width="23.5703125" style="68" customWidth="1"/>
    <col min="14851" max="14851" width="28.5703125" style="68" customWidth="1"/>
    <col min="14852" max="14852" width="30.5703125" style="68" customWidth="1"/>
    <col min="14853" max="14853" width="23.28515625" style="68" bestFit="1" customWidth="1"/>
    <col min="14854" max="14854" width="17.42578125" style="68" bestFit="1" customWidth="1"/>
    <col min="14855" max="14855" width="16.7109375" style="68" customWidth="1"/>
    <col min="14856" max="14856" width="17.85546875" style="68" customWidth="1"/>
    <col min="14857" max="14857" width="12.140625" style="68" customWidth="1"/>
    <col min="14858" max="14858" width="9.140625" style="68"/>
    <col min="14859" max="14859" width="14.28515625" style="68" bestFit="1" customWidth="1"/>
    <col min="14860" max="14860" width="9.140625" style="68"/>
    <col min="14861" max="14861" width="13" style="68" customWidth="1"/>
    <col min="14862" max="14862" width="12.7109375" style="68" customWidth="1"/>
    <col min="14863" max="15104" width="9.140625" style="68"/>
    <col min="15105" max="15105" width="23.140625" style="68" customWidth="1"/>
    <col min="15106" max="15106" width="23.5703125" style="68" customWidth="1"/>
    <col min="15107" max="15107" width="28.5703125" style="68" customWidth="1"/>
    <col min="15108" max="15108" width="30.5703125" style="68" customWidth="1"/>
    <col min="15109" max="15109" width="23.28515625" style="68" bestFit="1" customWidth="1"/>
    <col min="15110" max="15110" width="17.42578125" style="68" bestFit="1" customWidth="1"/>
    <col min="15111" max="15111" width="16.7109375" style="68" customWidth="1"/>
    <col min="15112" max="15112" width="17.85546875" style="68" customWidth="1"/>
    <col min="15113" max="15113" width="12.140625" style="68" customWidth="1"/>
    <col min="15114" max="15114" width="9.140625" style="68"/>
    <col min="15115" max="15115" width="14.28515625" style="68" bestFit="1" customWidth="1"/>
    <col min="15116" max="15116" width="9.140625" style="68"/>
    <col min="15117" max="15117" width="13" style="68" customWidth="1"/>
    <col min="15118" max="15118" width="12.7109375" style="68" customWidth="1"/>
    <col min="15119" max="15360" width="9.140625" style="68"/>
    <col min="15361" max="15361" width="23.140625" style="68" customWidth="1"/>
    <col min="15362" max="15362" width="23.5703125" style="68" customWidth="1"/>
    <col min="15363" max="15363" width="28.5703125" style="68" customWidth="1"/>
    <col min="15364" max="15364" width="30.5703125" style="68" customWidth="1"/>
    <col min="15365" max="15365" width="23.28515625" style="68" bestFit="1" customWidth="1"/>
    <col min="15366" max="15366" width="17.42578125" style="68" bestFit="1" customWidth="1"/>
    <col min="15367" max="15367" width="16.7109375" style="68" customWidth="1"/>
    <col min="15368" max="15368" width="17.85546875" style="68" customWidth="1"/>
    <col min="15369" max="15369" width="12.140625" style="68" customWidth="1"/>
    <col min="15370" max="15370" width="9.140625" style="68"/>
    <col min="15371" max="15371" width="14.28515625" style="68" bestFit="1" customWidth="1"/>
    <col min="15372" max="15372" width="9.140625" style="68"/>
    <col min="15373" max="15373" width="13" style="68" customWidth="1"/>
    <col min="15374" max="15374" width="12.7109375" style="68" customWidth="1"/>
    <col min="15375" max="15616" width="9.140625" style="68"/>
    <col min="15617" max="15617" width="23.140625" style="68" customWidth="1"/>
    <col min="15618" max="15618" width="23.5703125" style="68" customWidth="1"/>
    <col min="15619" max="15619" width="28.5703125" style="68" customWidth="1"/>
    <col min="15620" max="15620" width="30.5703125" style="68" customWidth="1"/>
    <col min="15621" max="15621" width="23.28515625" style="68" bestFit="1" customWidth="1"/>
    <col min="15622" max="15622" width="17.42578125" style="68" bestFit="1" customWidth="1"/>
    <col min="15623" max="15623" width="16.7109375" style="68" customWidth="1"/>
    <col min="15624" max="15624" width="17.85546875" style="68" customWidth="1"/>
    <col min="15625" max="15625" width="12.140625" style="68" customWidth="1"/>
    <col min="15626" max="15626" width="9.140625" style="68"/>
    <col min="15627" max="15627" width="14.28515625" style="68" bestFit="1" customWidth="1"/>
    <col min="15628" max="15628" width="9.140625" style="68"/>
    <col min="15629" max="15629" width="13" style="68" customWidth="1"/>
    <col min="15630" max="15630" width="12.7109375" style="68" customWidth="1"/>
    <col min="15631" max="15872" width="9.140625" style="68"/>
    <col min="15873" max="15873" width="23.140625" style="68" customWidth="1"/>
    <col min="15874" max="15874" width="23.5703125" style="68" customWidth="1"/>
    <col min="15875" max="15875" width="28.5703125" style="68" customWidth="1"/>
    <col min="15876" max="15876" width="30.5703125" style="68" customWidth="1"/>
    <col min="15877" max="15877" width="23.28515625" style="68" bestFit="1" customWidth="1"/>
    <col min="15878" max="15878" width="17.42578125" style="68" bestFit="1" customWidth="1"/>
    <col min="15879" max="15879" width="16.7109375" style="68" customWidth="1"/>
    <col min="15880" max="15880" width="17.85546875" style="68" customWidth="1"/>
    <col min="15881" max="15881" width="12.140625" style="68" customWidth="1"/>
    <col min="15882" max="15882" width="9.140625" style="68"/>
    <col min="15883" max="15883" width="14.28515625" style="68" bestFit="1" customWidth="1"/>
    <col min="15884" max="15884" width="9.140625" style="68"/>
    <col min="15885" max="15885" width="13" style="68" customWidth="1"/>
    <col min="15886" max="15886" width="12.7109375" style="68" customWidth="1"/>
    <col min="15887" max="16128" width="9.140625" style="68"/>
    <col min="16129" max="16129" width="23.140625" style="68" customWidth="1"/>
    <col min="16130" max="16130" width="23.5703125" style="68" customWidth="1"/>
    <col min="16131" max="16131" width="28.5703125" style="68" customWidth="1"/>
    <col min="16132" max="16132" width="30.5703125" style="68" customWidth="1"/>
    <col min="16133" max="16133" width="23.28515625" style="68" bestFit="1" customWidth="1"/>
    <col min="16134" max="16134" width="17.42578125" style="68" bestFit="1" customWidth="1"/>
    <col min="16135" max="16135" width="16.7109375" style="68" customWidth="1"/>
    <col min="16136" max="16136" width="17.85546875" style="68" customWidth="1"/>
    <col min="16137" max="16137" width="12.140625" style="68" customWidth="1"/>
    <col min="16138" max="16138" width="9.140625" style="68"/>
    <col min="16139" max="16139" width="14.28515625" style="68" bestFit="1" customWidth="1"/>
    <col min="16140" max="16140" width="9.140625" style="68"/>
    <col min="16141" max="16141" width="13" style="68" customWidth="1"/>
    <col min="16142" max="16142" width="12.7109375" style="68" customWidth="1"/>
    <col min="16143" max="16384" width="9.140625" style="68"/>
  </cols>
  <sheetData>
    <row r="1" spans="1:9" ht="12.6" customHeight="1">
      <c r="A1" s="65" t="s">
        <v>172</v>
      </c>
      <c r="B1" s="65" t="s">
        <v>173</v>
      </c>
      <c r="C1" s="65" t="s">
        <v>174</v>
      </c>
      <c r="D1" s="164" t="s">
        <v>175</v>
      </c>
      <c r="E1" s="164"/>
      <c r="F1" s="66"/>
      <c r="G1" s="67" t="s">
        <v>176</v>
      </c>
      <c r="H1" s="66"/>
      <c r="I1" s="66"/>
    </row>
    <row r="2" spans="1:9" ht="12.6" customHeight="1">
      <c r="A2" s="69" t="s">
        <v>177</v>
      </c>
      <c r="B2" s="70">
        <v>0.1</v>
      </c>
      <c r="C2" s="69">
        <f>B2*E2</f>
        <v>1000</v>
      </c>
      <c r="D2" s="66" t="s">
        <v>178</v>
      </c>
      <c r="E2" s="66">
        <f>2000/0.2</f>
        <v>10000</v>
      </c>
      <c r="F2" s="66" t="s">
        <v>179</v>
      </c>
      <c r="G2" s="66">
        <v>130</v>
      </c>
      <c r="H2" s="66"/>
      <c r="I2" s="66"/>
    </row>
    <row r="3" spans="1:9" ht="12.6" customHeight="1">
      <c r="A3" s="69" t="s">
        <v>180</v>
      </c>
      <c r="B3" s="69">
        <f>0.1+0.1</f>
        <v>0.2</v>
      </c>
      <c r="C3" s="69">
        <f>B3*E2</f>
        <v>2000</v>
      </c>
      <c r="D3" s="66" t="s">
        <v>181</v>
      </c>
      <c r="E3" s="66">
        <f>10000-100000/G4</f>
        <v>8000</v>
      </c>
      <c r="F3" s="66" t="s">
        <v>182</v>
      </c>
      <c r="G3" s="66">
        <v>150</v>
      </c>
      <c r="H3" s="66"/>
      <c r="I3" s="66"/>
    </row>
    <row r="4" spans="1:9" ht="12.6" customHeight="1">
      <c r="A4" s="69" t="s">
        <v>181</v>
      </c>
      <c r="B4" s="69">
        <f>C4/E3</f>
        <v>0.25</v>
      </c>
      <c r="C4" s="69">
        <v>2000</v>
      </c>
      <c r="D4" s="66"/>
      <c r="E4" s="66"/>
      <c r="F4" s="66" t="s">
        <v>183</v>
      </c>
      <c r="G4" s="66">
        <v>50</v>
      </c>
      <c r="H4" s="66"/>
      <c r="I4" s="66"/>
    </row>
    <row r="5" spans="1:9" ht="12.6" customHeight="1">
      <c r="A5" s="71" t="s">
        <v>184</v>
      </c>
      <c r="B5" s="69">
        <f>C5/E3</f>
        <v>0.2</v>
      </c>
      <c r="C5" s="69">
        <f>2000-40000/G5</f>
        <v>1600</v>
      </c>
      <c r="D5" s="66"/>
      <c r="E5" s="66"/>
      <c r="F5" s="66" t="s">
        <v>184</v>
      </c>
      <c r="G5" s="66">
        <v>100</v>
      </c>
      <c r="H5" s="66"/>
      <c r="I5" s="66"/>
    </row>
    <row r="6" spans="1:9" ht="15">
      <c r="A6" s="72" t="s">
        <v>185</v>
      </c>
      <c r="B6" s="66"/>
      <c r="C6" s="66"/>
      <c r="D6" s="66"/>
      <c r="E6" s="66"/>
      <c r="F6" s="66"/>
      <c r="G6" s="66"/>
      <c r="H6" s="66"/>
      <c r="I6" s="66"/>
    </row>
    <row r="7" spans="1:9" ht="15">
      <c r="A7" s="164" t="s">
        <v>186</v>
      </c>
      <c r="B7" s="164"/>
      <c r="C7" s="67" t="s">
        <v>187</v>
      </c>
      <c r="D7" s="67" t="s">
        <v>188</v>
      </c>
      <c r="E7" s="66"/>
      <c r="F7" s="67" t="s">
        <v>189</v>
      </c>
      <c r="G7" s="67" t="s">
        <v>187</v>
      </c>
      <c r="H7" s="66"/>
      <c r="I7" s="67" t="s">
        <v>190</v>
      </c>
    </row>
    <row r="8" spans="1:9">
      <c r="A8" s="71" t="s">
        <v>191</v>
      </c>
      <c r="B8" s="73">
        <f>C68</f>
        <v>300000</v>
      </c>
      <c r="C8" s="66">
        <v>1</v>
      </c>
      <c r="D8" s="66"/>
      <c r="E8" s="66"/>
      <c r="F8" s="66"/>
      <c r="G8" s="66"/>
      <c r="H8" s="74" t="s">
        <v>182</v>
      </c>
      <c r="I8" s="66">
        <f>C75</f>
        <v>1045000</v>
      </c>
    </row>
    <row r="9" spans="1:9">
      <c r="A9" s="71" t="s">
        <v>192</v>
      </c>
      <c r="B9" s="73">
        <f>D162</f>
        <v>-10125</v>
      </c>
      <c r="C9" s="66">
        <v>5</v>
      </c>
      <c r="D9" s="66"/>
      <c r="E9" s="66"/>
      <c r="F9" s="66"/>
      <c r="G9" s="66"/>
      <c r="H9" s="74" t="s">
        <v>193</v>
      </c>
      <c r="I9" s="66">
        <f>-1985000</f>
        <v>-1985000</v>
      </c>
    </row>
    <row r="10" spans="1:9" ht="15">
      <c r="A10" s="75" t="s">
        <v>194</v>
      </c>
      <c r="B10" s="73"/>
      <c r="C10" s="66"/>
      <c r="D10" s="66"/>
      <c r="E10" s="66"/>
      <c r="F10" s="66"/>
      <c r="G10" s="66"/>
      <c r="H10" s="74" t="s">
        <v>195</v>
      </c>
      <c r="I10" s="76">
        <f>H91</f>
        <v>-9375</v>
      </c>
    </row>
    <row r="11" spans="1:9">
      <c r="A11" s="66" t="s">
        <v>196</v>
      </c>
      <c r="B11" s="73">
        <f>C98*B3</f>
        <v>1125</v>
      </c>
      <c r="C11" s="66">
        <v>2</v>
      </c>
      <c r="D11" s="66"/>
      <c r="E11" s="66"/>
      <c r="F11" s="66"/>
      <c r="G11" s="66"/>
      <c r="H11" s="74" t="s">
        <v>197</v>
      </c>
      <c r="I11" s="66">
        <f>I8+I9+I10</f>
        <v>-949375</v>
      </c>
    </row>
    <row r="12" spans="1:9">
      <c r="A12" s="66" t="s">
        <v>198</v>
      </c>
      <c r="B12" s="73">
        <f>C119*B3</f>
        <v>6000</v>
      </c>
      <c r="C12" s="66">
        <v>3</v>
      </c>
      <c r="D12" s="66"/>
      <c r="E12" s="66"/>
      <c r="F12" s="66"/>
      <c r="G12" s="66"/>
      <c r="H12" s="74" t="s">
        <v>199</v>
      </c>
      <c r="I12" s="66">
        <v>1500000</v>
      </c>
    </row>
    <row r="13" spans="1:9">
      <c r="A13" s="66" t="s">
        <v>200</v>
      </c>
      <c r="B13" s="77">
        <f>B14-B8-B9-B11-B12</f>
        <v>-347000</v>
      </c>
      <c r="C13" s="74" t="s">
        <v>201</v>
      </c>
      <c r="D13" s="76">
        <f>-1985000*B3-B13</f>
        <v>-50000</v>
      </c>
      <c r="E13" s="74" t="s">
        <v>201</v>
      </c>
      <c r="F13" s="66"/>
      <c r="G13" s="66"/>
      <c r="H13" s="74" t="s">
        <v>195</v>
      </c>
      <c r="I13" s="76">
        <f>H94</f>
        <v>-5000</v>
      </c>
    </row>
    <row r="14" spans="1:9" ht="15">
      <c r="A14" s="78" t="s">
        <v>197</v>
      </c>
      <c r="B14" s="79">
        <f>-50000</f>
        <v>-50000</v>
      </c>
      <c r="C14" s="66" t="s">
        <v>202</v>
      </c>
      <c r="D14" s="80">
        <f>D13</f>
        <v>-50000</v>
      </c>
      <c r="E14" s="66"/>
      <c r="F14" s="66"/>
      <c r="G14" s="66"/>
      <c r="H14" s="74" t="s">
        <v>203</v>
      </c>
      <c r="I14" s="66">
        <f>I11+I12+I13</f>
        <v>545625</v>
      </c>
    </row>
    <row r="15" spans="1:9">
      <c r="A15" s="71" t="s">
        <v>192</v>
      </c>
      <c r="B15" s="73">
        <f>F162</f>
        <v>-1125</v>
      </c>
      <c r="C15" s="66">
        <v>5</v>
      </c>
      <c r="D15" s="66"/>
      <c r="E15" s="66"/>
      <c r="F15" s="66"/>
      <c r="G15" s="66"/>
      <c r="H15" s="74" t="s">
        <v>204</v>
      </c>
      <c r="I15" s="76">
        <v>-100000</v>
      </c>
    </row>
    <row r="16" spans="1:9" ht="20.25" customHeight="1">
      <c r="A16" s="75" t="s">
        <v>194</v>
      </c>
      <c r="B16" s="73"/>
      <c r="C16" s="66"/>
      <c r="D16" s="66"/>
      <c r="E16" s="66"/>
      <c r="F16" s="66"/>
      <c r="G16" s="66"/>
      <c r="H16" s="74" t="s">
        <v>183</v>
      </c>
      <c r="I16" s="66">
        <f>I15+I14</f>
        <v>445625</v>
      </c>
    </row>
    <row r="17" spans="1:9">
      <c r="A17" s="71" t="s">
        <v>196</v>
      </c>
      <c r="B17" s="73">
        <f>C102*B3</f>
        <v>500.0000000000004</v>
      </c>
      <c r="C17" s="165">
        <v>2</v>
      </c>
      <c r="D17" s="73">
        <f>SUM(B28:B39)</f>
        <v>432139.58333333331</v>
      </c>
      <c r="E17" s="66"/>
      <c r="F17" s="66"/>
      <c r="G17" s="66"/>
      <c r="H17" s="74" t="s">
        <v>199</v>
      </c>
      <c r="I17" s="66">
        <v>1000000</v>
      </c>
    </row>
    <row r="18" spans="1:9">
      <c r="A18" s="71" t="s">
        <v>205</v>
      </c>
      <c r="B18" s="73">
        <f>C105*B3</f>
        <v>1500</v>
      </c>
      <c r="C18" s="165"/>
      <c r="D18" s="66"/>
      <c r="E18" s="66"/>
      <c r="F18" s="66"/>
      <c r="G18" s="66"/>
      <c r="H18" s="74" t="s">
        <v>195</v>
      </c>
      <c r="I18" s="66">
        <f>H97</f>
        <v>22500</v>
      </c>
    </row>
    <row r="19" spans="1:9">
      <c r="A19" s="66" t="s">
        <v>198</v>
      </c>
      <c r="B19" s="73">
        <f>C121*B3</f>
        <v>-1500</v>
      </c>
      <c r="C19" s="66">
        <v>3</v>
      </c>
      <c r="D19" s="66"/>
      <c r="E19" s="66"/>
      <c r="F19" s="66"/>
      <c r="G19" s="66"/>
      <c r="H19" s="74" t="s">
        <v>206</v>
      </c>
      <c r="I19" s="66">
        <f>E3*1*-1</f>
        <v>-8000</v>
      </c>
    </row>
    <row r="20" spans="1:9" ht="15">
      <c r="A20" s="80" t="s">
        <v>207</v>
      </c>
      <c r="B20" s="73"/>
      <c r="C20" s="166">
        <v>4</v>
      </c>
      <c r="D20" s="66"/>
      <c r="E20" s="66"/>
      <c r="F20" s="66"/>
      <c r="G20" s="66"/>
      <c r="H20" s="74" t="s">
        <v>184</v>
      </c>
      <c r="I20" s="66">
        <f>I16+I17+I18+I19</f>
        <v>1460125</v>
      </c>
    </row>
    <row r="21" spans="1:9">
      <c r="A21" s="66" t="s">
        <v>208</v>
      </c>
      <c r="B21" s="73">
        <f>C129</f>
        <v>-3750</v>
      </c>
      <c r="C21" s="166"/>
      <c r="D21" s="66"/>
      <c r="E21" s="66"/>
      <c r="F21" s="66"/>
      <c r="G21" s="66"/>
      <c r="H21" s="66"/>
      <c r="I21" s="66"/>
    </row>
    <row r="22" spans="1:9">
      <c r="A22" s="66" t="s">
        <v>209</v>
      </c>
      <c r="B22" s="73">
        <f>C130</f>
        <v>1875</v>
      </c>
      <c r="C22" s="166"/>
      <c r="D22" s="66"/>
      <c r="E22" s="66"/>
      <c r="F22" s="66"/>
      <c r="G22" s="66"/>
      <c r="H22" s="66"/>
      <c r="I22" s="66"/>
    </row>
    <row r="23" spans="1:9" ht="15">
      <c r="A23" s="80" t="s">
        <v>210</v>
      </c>
      <c r="B23" s="73"/>
      <c r="C23" s="166"/>
      <c r="D23" s="66"/>
      <c r="E23" s="66"/>
      <c r="F23" s="66"/>
      <c r="G23" s="66"/>
      <c r="H23" s="66"/>
      <c r="I23" s="66"/>
    </row>
    <row r="24" spans="1:9">
      <c r="A24" s="66" t="s">
        <v>211</v>
      </c>
      <c r="B24" s="73">
        <f>C138</f>
        <v>-1600</v>
      </c>
      <c r="C24" s="166"/>
      <c r="D24" s="66"/>
      <c r="E24" s="66"/>
      <c r="F24" s="66"/>
      <c r="G24" s="66"/>
      <c r="H24" s="66"/>
      <c r="I24" s="66"/>
    </row>
    <row r="25" spans="1:9">
      <c r="A25" s="66" t="s">
        <v>212</v>
      </c>
      <c r="B25" s="73">
        <f>C147</f>
        <v>-6000</v>
      </c>
      <c r="C25" s="166"/>
      <c r="D25" s="66"/>
      <c r="E25" s="66"/>
      <c r="F25" s="66"/>
      <c r="G25" s="66"/>
      <c r="H25" s="66"/>
      <c r="I25" s="66"/>
    </row>
    <row r="26" spans="1:9">
      <c r="A26" s="66" t="s">
        <v>213</v>
      </c>
      <c r="B26" s="73">
        <f>C148</f>
        <v>666.66666666666663</v>
      </c>
      <c r="C26" s="166"/>
      <c r="D26" s="66"/>
      <c r="E26" s="66"/>
      <c r="F26" s="66"/>
      <c r="G26" s="66"/>
      <c r="H26" s="66"/>
      <c r="I26" s="66"/>
    </row>
    <row r="27" spans="1:9">
      <c r="A27" s="66" t="s">
        <v>214</v>
      </c>
      <c r="B27" s="77">
        <f>1500000*B3-D27</f>
        <v>250000</v>
      </c>
      <c r="C27" s="66" t="s">
        <v>215</v>
      </c>
      <c r="D27" s="81">
        <f>D14*-1</f>
        <v>50000</v>
      </c>
      <c r="E27" s="66" t="s">
        <v>216</v>
      </c>
      <c r="F27" s="66"/>
      <c r="G27" s="66"/>
      <c r="H27" s="66">
        <f>100000/2000</f>
        <v>50</v>
      </c>
      <c r="I27" s="66"/>
    </row>
    <row r="28" spans="1:9" ht="15">
      <c r="A28" s="78" t="s">
        <v>203</v>
      </c>
      <c r="B28" s="79">
        <f>SUM(B14:B27)</f>
        <v>190566.66666666666</v>
      </c>
      <c r="C28" s="80"/>
      <c r="D28" s="80">
        <f>D14+D27</f>
        <v>0</v>
      </c>
      <c r="E28" s="66"/>
      <c r="F28" s="66"/>
      <c r="G28" s="66"/>
      <c r="H28" s="66"/>
      <c r="I28" s="66"/>
    </row>
    <row r="29" spans="1:9" ht="15">
      <c r="A29" s="74" t="s">
        <v>204</v>
      </c>
      <c r="B29" s="73">
        <v>0</v>
      </c>
      <c r="C29" s="80">
        <v>1</v>
      </c>
      <c r="D29" s="80"/>
      <c r="E29" s="66"/>
      <c r="F29" s="66"/>
      <c r="G29" s="66"/>
      <c r="H29" s="66"/>
      <c r="I29" s="66"/>
    </row>
    <row r="30" spans="1:9" ht="15">
      <c r="A30" s="74" t="s">
        <v>217</v>
      </c>
      <c r="B30" s="73">
        <f>G169</f>
        <v>2281.25</v>
      </c>
      <c r="C30" s="66">
        <v>1</v>
      </c>
      <c r="D30" s="80"/>
      <c r="E30" s="66"/>
      <c r="F30" s="66"/>
      <c r="G30" s="66"/>
      <c r="H30" s="66"/>
      <c r="I30" s="66"/>
    </row>
    <row r="31" spans="1:9" ht="15">
      <c r="A31" s="71" t="s">
        <v>192</v>
      </c>
      <c r="B31" s="73">
        <f>H162+H169</f>
        <v>-937.5</v>
      </c>
      <c r="C31" s="66">
        <v>5</v>
      </c>
      <c r="D31" s="80"/>
      <c r="E31" s="66"/>
      <c r="F31" s="66"/>
      <c r="G31" s="66"/>
      <c r="H31" s="66"/>
      <c r="I31" s="66"/>
    </row>
    <row r="32" spans="1:9" ht="15">
      <c r="A32" s="75" t="s">
        <v>194</v>
      </c>
      <c r="B32" s="79"/>
      <c r="C32" s="80"/>
      <c r="D32" s="80"/>
      <c r="E32" s="66"/>
      <c r="F32" s="66"/>
      <c r="G32" s="66"/>
      <c r="H32" s="66"/>
      <c r="I32" s="66"/>
    </row>
    <row r="33" spans="1:9" ht="15">
      <c r="A33" s="66" t="s">
        <v>218</v>
      </c>
      <c r="B33" s="82">
        <f>C109*B4</f>
        <v>-937.5</v>
      </c>
      <c r="C33" s="163">
        <v>2</v>
      </c>
      <c r="D33" s="80"/>
      <c r="E33" s="66"/>
      <c r="F33" s="66"/>
      <c r="G33" s="66"/>
      <c r="H33" s="66"/>
      <c r="I33" s="66"/>
    </row>
    <row r="34" spans="1:9" ht="15">
      <c r="A34" s="74" t="s">
        <v>219</v>
      </c>
      <c r="B34" s="73">
        <f>C111*B4</f>
        <v>-937.5</v>
      </c>
      <c r="C34" s="163"/>
      <c r="D34" s="80"/>
      <c r="E34" s="66"/>
      <c r="F34" s="66"/>
      <c r="G34" s="66"/>
      <c r="H34" s="66"/>
      <c r="I34" s="66"/>
    </row>
    <row r="35" spans="1:9" ht="15">
      <c r="A35" s="66" t="s">
        <v>198</v>
      </c>
      <c r="B35" s="73">
        <f>C123*B4</f>
        <v>-7500</v>
      </c>
      <c r="C35" s="80">
        <f>3</f>
        <v>3</v>
      </c>
      <c r="D35" s="80"/>
      <c r="E35" s="66"/>
      <c r="F35" s="66"/>
      <c r="G35" s="66"/>
      <c r="H35" s="66"/>
      <c r="I35" s="66"/>
    </row>
    <row r="36" spans="1:9" ht="15">
      <c r="A36" s="66" t="s">
        <v>220</v>
      </c>
      <c r="B36" s="73">
        <f>C132</f>
        <v>937.5</v>
      </c>
      <c r="C36" s="163">
        <v>4</v>
      </c>
      <c r="D36" s="80"/>
      <c r="E36" s="66"/>
      <c r="F36" s="66"/>
      <c r="G36" s="66"/>
      <c r="H36" s="66"/>
      <c r="I36" s="66"/>
    </row>
    <row r="37" spans="1:9" ht="15">
      <c r="A37" s="74" t="s">
        <v>221</v>
      </c>
      <c r="B37" s="73">
        <f>C150</f>
        <v>666.66666666666663</v>
      </c>
      <c r="C37" s="163"/>
      <c r="D37" s="80"/>
      <c r="E37" s="66"/>
      <c r="F37" s="66"/>
      <c r="G37" s="66"/>
      <c r="H37" s="66"/>
      <c r="I37" s="66"/>
    </row>
    <row r="38" spans="1:9" ht="15">
      <c r="A38" s="74" t="s">
        <v>214</v>
      </c>
      <c r="B38" s="73">
        <f>1000000*B4</f>
        <v>250000</v>
      </c>
      <c r="C38" s="80"/>
      <c r="D38" s="80"/>
      <c r="E38" s="66"/>
      <c r="F38" s="66"/>
      <c r="G38" s="66"/>
      <c r="H38" s="66"/>
      <c r="I38" s="66"/>
    </row>
    <row r="39" spans="1:9" ht="15">
      <c r="A39" s="74" t="s">
        <v>206</v>
      </c>
      <c r="B39" s="77">
        <f>1*C4*-1</f>
        <v>-2000</v>
      </c>
      <c r="C39" s="80"/>
      <c r="D39" s="80"/>
      <c r="E39" s="66"/>
      <c r="F39" s="66"/>
      <c r="G39" s="66"/>
      <c r="H39" s="66"/>
      <c r="I39" s="66"/>
    </row>
    <row r="40" spans="1:9" ht="15">
      <c r="A40" s="78" t="s">
        <v>184</v>
      </c>
      <c r="B40" s="79">
        <f>SUM(B28:B39)</f>
        <v>432139.58333333331</v>
      </c>
      <c r="C40" s="80"/>
      <c r="D40" s="80"/>
      <c r="E40" s="66"/>
      <c r="F40" s="66"/>
      <c r="G40" s="66"/>
      <c r="H40" s="66"/>
      <c r="I40" s="66"/>
    </row>
    <row r="41" spans="1:9" ht="15">
      <c r="A41" s="78" t="s">
        <v>222</v>
      </c>
      <c r="B41" s="77">
        <f>(B40+C133*-1)*(B4-B5)/B4</f>
        <v>86615.416666666642</v>
      </c>
      <c r="C41" s="80"/>
      <c r="D41" s="83"/>
      <c r="E41" s="66" t="s">
        <v>189</v>
      </c>
      <c r="F41" s="77">
        <f>C174</f>
        <v>-185524.16666666669</v>
      </c>
      <c r="G41" s="66">
        <v>6</v>
      </c>
      <c r="H41" s="66"/>
      <c r="I41" s="66"/>
    </row>
    <row r="42" spans="1:9" ht="15">
      <c r="A42" s="78" t="s">
        <v>184</v>
      </c>
      <c r="B42" s="79">
        <f>B40-B41</f>
        <v>345524.16666666669</v>
      </c>
      <c r="C42" s="80"/>
      <c r="D42" s="80">
        <v>0</v>
      </c>
      <c r="E42" s="80" t="s">
        <v>223</v>
      </c>
      <c r="F42" s="73">
        <f>F41</f>
        <v>-185524.16666666669</v>
      </c>
      <c r="G42" s="66"/>
      <c r="H42" s="66"/>
      <c r="I42" s="66"/>
    </row>
    <row r="43" spans="1:9" ht="15">
      <c r="A43" s="78"/>
      <c r="B43" s="79"/>
      <c r="C43" s="80"/>
      <c r="D43" s="80"/>
    </row>
    <row r="44" spans="1:9" ht="15">
      <c r="A44" s="84" t="s">
        <v>224</v>
      </c>
      <c r="B44" s="79"/>
      <c r="C44" s="80"/>
      <c r="D44" s="80"/>
    </row>
    <row r="45" spans="1:9" ht="15">
      <c r="A45" s="78"/>
      <c r="B45" s="85" t="s">
        <v>225</v>
      </c>
      <c r="C45" s="80"/>
      <c r="D45" s="67" t="s">
        <v>226</v>
      </c>
      <c r="F45" s="67" t="s">
        <v>227</v>
      </c>
    </row>
    <row r="46" spans="1:9">
      <c r="A46" s="74" t="s">
        <v>228</v>
      </c>
      <c r="B46" s="73">
        <f>I11*B3</f>
        <v>-189875</v>
      </c>
      <c r="C46" s="82" t="s">
        <v>228</v>
      </c>
      <c r="D46" s="73">
        <f>I14*B3</f>
        <v>109125</v>
      </c>
      <c r="E46" s="82" t="s">
        <v>228</v>
      </c>
      <c r="F46" s="86">
        <f>I20*B5</f>
        <v>292025</v>
      </c>
    </row>
    <row r="47" spans="1:9">
      <c r="A47" s="74" t="s">
        <v>194</v>
      </c>
      <c r="B47" s="73">
        <f>C91*B3</f>
        <v>-1500</v>
      </c>
      <c r="C47" s="82" t="s">
        <v>194</v>
      </c>
      <c r="D47" s="73">
        <f>C93*B3</f>
        <v>1500</v>
      </c>
      <c r="E47" s="82" t="s">
        <v>194</v>
      </c>
      <c r="F47" s="86">
        <f>C95*B5</f>
        <v>-4500</v>
      </c>
    </row>
    <row r="48" spans="1:9">
      <c r="A48" s="74" t="s">
        <v>198</v>
      </c>
      <c r="B48" s="73">
        <f>C120*B3</f>
        <v>1500</v>
      </c>
      <c r="C48" s="82" t="s">
        <v>198</v>
      </c>
      <c r="D48" s="73">
        <f>C122*B3</f>
        <v>0</v>
      </c>
      <c r="E48" s="82" t="s">
        <v>198</v>
      </c>
      <c r="F48" s="86">
        <f>C124*B5</f>
        <v>-6000</v>
      </c>
    </row>
    <row r="49" spans="1:6">
      <c r="A49" s="87" t="s">
        <v>229</v>
      </c>
      <c r="B49" s="73"/>
      <c r="C49" s="82" t="s">
        <v>207</v>
      </c>
      <c r="D49" s="73">
        <f>C131</f>
        <v>-1875</v>
      </c>
      <c r="E49" s="82" t="s">
        <v>207</v>
      </c>
      <c r="F49" s="86">
        <f>C133</f>
        <v>-937.5</v>
      </c>
    </row>
    <row r="50" spans="1:6">
      <c r="A50" s="74" t="str">
        <f>B159</f>
        <v>כלי רכב</v>
      </c>
      <c r="B50" s="73">
        <f>E159</f>
        <v>4500</v>
      </c>
      <c r="C50" s="82" t="s">
        <v>210</v>
      </c>
      <c r="D50" s="73">
        <f>C140+C149</f>
        <v>-6933.333333333333</v>
      </c>
      <c r="E50" s="82" t="s">
        <v>210</v>
      </c>
      <c r="F50" s="86">
        <f>C144+C153</f>
        <v>-5013.333333333333</v>
      </c>
    </row>
    <row r="51" spans="1:6">
      <c r="A51" s="74" t="str">
        <f>B160</f>
        <v>מס נדחה</v>
      </c>
      <c r="B51" s="73">
        <f>E160</f>
        <v>-1125</v>
      </c>
      <c r="C51" s="88" t="s">
        <v>229</v>
      </c>
      <c r="D51" s="73"/>
      <c r="E51" s="88" t="s">
        <v>229</v>
      </c>
      <c r="F51" s="86"/>
    </row>
    <row r="52" spans="1:6">
      <c r="A52" s="74" t="str">
        <f>B161</f>
        <v>מוניטין</v>
      </c>
      <c r="B52" s="89">
        <f>E161</f>
        <v>86500</v>
      </c>
      <c r="C52" s="82" t="s">
        <v>230</v>
      </c>
      <c r="D52" s="73">
        <f>G159</f>
        <v>3000</v>
      </c>
      <c r="E52" s="82" t="s">
        <v>230</v>
      </c>
      <c r="F52" s="86">
        <f>J159+J166</f>
        <v>1000</v>
      </c>
    </row>
    <row r="53" spans="1:6" ht="15">
      <c r="A53" s="80" t="s">
        <v>13</v>
      </c>
      <c r="B53" s="79">
        <f>B46+B47+B48++B50+B51+B52</f>
        <v>-100000</v>
      </c>
      <c r="C53" s="82" t="s">
        <v>39</v>
      </c>
      <c r="D53" s="73">
        <f>G160</f>
        <v>-750</v>
      </c>
      <c r="E53" s="82" t="s">
        <v>39</v>
      </c>
      <c r="F53" s="86">
        <f>J160+J167</f>
        <v>-250</v>
      </c>
    </row>
    <row r="54" spans="1:6">
      <c r="A54" s="68" t="s">
        <v>231</v>
      </c>
      <c r="B54" s="86">
        <f>D14*-1</f>
        <v>50000</v>
      </c>
      <c r="C54" s="82" t="s">
        <v>232</v>
      </c>
      <c r="D54" s="73">
        <f>G161</f>
        <v>86500</v>
      </c>
      <c r="E54" s="82" t="s">
        <v>232</v>
      </c>
      <c r="F54" s="86">
        <f>J161</f>
        <v>69200</v>
      </c>
    </row>
    <row r="55" spans="1:6" ht="15">
      <c r="A55" s="80" t="s">
        <v>13</v>
      </c>
      <c r="B55" s="79">
        <f>B53+B54</f>
        <v>-50000</v>
      </c>
      <c r="C55" s="90" t="s">
        <v>13</v>
      </c>
      <c r="D55" s="79">
        <f>D54+D53+D52+D49+D50+D48+D47+D46</f>
        <v>190566.66666666669</v>
      </c>
      <c r="E55" s="90" t="s">
        <v>13</v>
      </c>
      <c r="F55" s="79">
        <f>F46+F47+F48+F49+F50+F52+F53+F54</f>
        <v>345524.16666666669</v>
      </c>
    </row>
    <row r="56" spans="1:6" ht="15">
      <c r="A56" s="80"/>
      <c r="B56" s="79"/>
      <c r="C56" s="90"/>
      <c r="D56" s="79"/>
      <c r="E56" s="90" t="s">
        <v>189</v>
      </c>
      <c r="F56" s="73">
        <f>F42</f>
        <v>-185524.16666666669</v>
      </c>
    </row>
    <row r="57" spans="1:6" ht="15">
      <c r="B57" s="86"/>
      <c r="C57" s="86"/>
      <c r="D57" s="86"/>
      <c r="E57" s="90" t="s">
        <v>13</v>
      </c>
      <c r="F57" s="79">
        <f>F56+F55</f>
        <v>160000</v>
      </c>
    </row>
    <row r="58" spans="1:6" ht="15">
      <c r="A58" s="67" t="s">
        <v>233</v>
      </c>
      <c r="B58" s="86"/>
      <c r="C58" s="86"/>
      <c r="D58" s="86"/>
      <c r="E58" s="86"/>
      <c r="F58" s="86"/>
    </row>
    <row r="59" spans="1:6" ht="15">
      <c r="B59" s="85" t="s">
        <v>225</v>
      </c>
      <c r="C59" s="79"/>
      <c r="D59" s="85" t="s">
        <v>226</v>
      </c>
      <c r="E59" s="86"/>
      <c r="F59" s="85" t="s">
        <v>227</v>
      </c>
    </row>
    <row r="60" spans="1:6">
      <c r="A60" s="68" t="s">
        <v>234</v>
      </c>
      <c r="B60" s="73">
        <f>C2*(G3-G2)*-1</f>
        <v>-20000</v>
      </c>
      <c r="C60" s="73" t="s">
        <v>214</v>
      </c>
      <c r="D60" s="73">
        <f>B15+B17+B18+B19+B21+B22+B24+B25+B26+B27</f>
        <v>240566.66666666666</v>
      </c>
      <c r="E60" s="86" t="s">
        <v>214</v>
      </c>
      <c r="F60" s="73">
        <f>B30+B31+B33+B34+B35+B36+B37+B38</f>
        <v>243572.91666666666</v>
      </c>
    </row>
    <row r="61" spans="1:6">
      <c r="A61" s="68" t="s">
        <v>235</v>
      </c>
      <c r="B61" s="86">
        <f>B60*-1</f>
        <v>20000</v>
      </c>
      <c r="C61" s="86"/>
      <c r="D61" s="86"/>
      <c r="E61" s="86" t="s">
        <v>236</v>
      </c>
      <c r="F61" s="91">
        <f>40000-B41+F41</f>
        <v>-232139.58333333331</v>
      </c>
    </row>
    <row r="62" spans="1:6" ht="15">
      <c r="A62" s="68" t="s">
        <v>214</v>
      </c>
      <c r="B62" s="91">
        <f>B9+B11+B12+B13</f>
        <v>-350000</v>
      </c>
      <c r="C62" s="86"/>
      <c r="D62" s="86"/>
      <c r="E62" s="79" t="s">
        <v>237</v>
      </c>
      <c r="F62" s="79">
        <f>F61+F60</f>
        <v>11433.333333333343</v>
      </c>
    </row>
    <row r="63" spans="1:6" ht="15">
      <c r="A63" s="80" t="s">
        <v>237</v>
      </c>
      <c r="B63" s="79">
        <f>B62+B61+B60</f>
        <v>-350000</v>
      </c>
      <c r="C63" s="86"/>
      <c r="D63" s="86"/>
      <c r="E63" s="86"/>
      <c r="F63" s="86"/>
    </row>
    <row r="64" spans="1:6">
      <c r="B64" s="86"/>
      <c r="C64" s="86"/>
      <c r="D64" s="86"/>
      <c r="E64" s="86"/>
      <c r="F64" s="86"/>
    </row>
    <row r="65" spans="1:10">
      <c r="B65" s="86"/>
      <c r="C65" s="86"/>
      <c r="D65" s="86"/>
      <c r="E65" s="86"/>
      <c r="F65" s="86"/>
    </row>
    <row r="66" spans="1:10" ht="15">
      <c r="A66" s="67" t="s">
        <v>238</v>
      </c>
      <c r="B66" s="92"/>
      <c r="C66" s="92"/>
      <c r="D66" s="92"/>
      <c r="E66" s="92"/>
      <c r="F66" s="92"/>
      <c r="G66" s="92"/>
      <c r="H66" s="92"/>
      <c r="I66" s="92"/>
      <c r="J66" s="92"/>
    </row>
    <row r="67" spans="1:10" ht="15">
      <c r="A67" s="93">
        <v>1</v>
      </c>
      <c r="B67" s="94" t="s">
        <v>239</v>
      </c>
      <c r="C67" s="95" t="s">
        <v>182</v>
      </c>
      <c r="D67" s="92"/>
      <c r="E67" s="92"/>
      <c r="F67" s="94" t="s">
        <v>239</v>
      </c>
      <c r="G67" s="95" t="s">
        <v>183</v>
      </c>
      <c r="H67" s="92"/>
      <c r="I67" s="92"/>
      <c r="J67" s="92"/>
    </row>
    <row r="68" spans="1:10" ht="15">
      <c r="A68" s="93"/>
      <c r="B68" s="96" t="s">
        <v>240</v>
      </c>
      <c r="C68" s="97">
        <f>C3*G3</f>
        <v>300000</v>
      </c>
      <c r="D68" s="98" t="s">
        <v>241</v>
      </c>
      <c r="E68" s="98"/>
      <c r="F68" s="97" t="s">
        <v>240</v>
      </c>
      <c r="G68" s="97">
        <f>G3*K3</f>
        <v>0</v>
      </c>
      <c r="H68" s="92"/>
      <c r="I68" s="92"/>
      <c r="J68" s="92"/>
    </row>
    <row r="69" spans="1:10" ht="15">
      <c r="A69" s="93"/>
      <c r="B69" s="96" t="s">
        <v>242</v>
      </c>
      <c r="C69" s="99">
        <f>C78*B3</f>
        <v>200000</v>
      </c>
      <c r="D69" s="98"/>
      <c r="E69" s="98"/>
      <c r="F69" s="97" t="s">
        <v>243</v>
      </c>
      <c r="G69" s="97">
        <f>(I14+C93+C122)*B3</f>
        <v>110625</v>
      </c>
      <c r="H69" s="92"/>
      <c r="I69" s="92"/>
      <c r="J69" s="92"/>
    </row>
    <row r="70" spans="1:10" ht="15">
      <c r="A70" s="93"/>
      <c r="B70" s="96"/>
      <c r="C70" s="97">
        <f>C68-C69</f>
        <v>100000</v>
      </c>
      <c r="D70" s="98"/>
      <c r="E70" s="98"/>
      <c r="F70" s="97" t="s">
        <v>244</v>
      </c>
      <c r="G70" s="99">
        <f>(I16+C93+C122)*B4</f>
        <v>113281.25</v>
      </c>
      <c r="H70" s="92"/>
      <c r="I70" s="92"/>
      <c r="J70" s="92"/>
    </row>
    <row r="71" spans="1:10" ht="13.9" customHeight="1">
      <c r="A71" s="100"/>
      <c r="B71" s="67" t="s">
        <v>245</v>
      </c>
      <c r="C71" s="98"/>
      <c r="D71" s="98"/>
      <c r="E71" s="98"/>
      <c r="F71" s="97" t="s">
        <v>246</v>
      </c>
      <c r="G71" s="98">
        <f>G68+G69-G70</f>
        <v>-2656.25</v>
      </c>
      <c r="H71" s="92"/>
      <c r="I71" s="92"/>
      <c r="J71" s="92"/>
    </row>
    <row r="72" spans="1:10" ht="13.9" customHeight="1">
      <c r="A72" s="92"/>
      <c r="B72" s="101" t="s">
        <v>247</v>
      </c>
      <c r="C72" s="97"/>
      <c r="D72" s="98"/>
      <c r="E72" s="98"/>
      <c r="F72" s="85"/>
      <c r="G72" s="98"/>
      <c r="H72" s="92"/>
      <c r="I72" s="92"/>
      <c r="J72" s="92"/>
    </row>
    <row r="73" spans="1:10" ht="15">
      <c r="A73" s="92"/>
      <c r="B73" s="96" t="s">
        <v>248</v>
      </c>
      <c r="C73" s="98">
        <f>2000+1020500</f>
        <v>1022500</v>
      </c>
      <c r="D73" s="98"/>
      <c r="E73" s="98"/>
      <c r="F73" s="102" t="s">
        <v>249</v>
      </c>
      <c r="G73" s="103"/>
      <c r="H73" s="92"/>
      <c r="I73" s="92"/>
      <c r="J73" s="92"/>
    </row>
    <row r="74" spans="1:10">
      <c r="A74" s="92"/>
      <c r="B74" s="96" t="s">
        <v>195</v>
      </c>
      <c r="C74" s="104">
        <f>C89*-1</f>
        <v>22500</v>
      </c>
      <c r="D74" s="98"/>
      <c r="E74" s="98"/>
      <c r="F74" s="98" t="s">
        <v>230</v>
      </c>
      <c r="G74" s="98">
        <f>(E93-F93)*(B4-B3)</f>
        <v>-499.99999999999989</v>
      </c>
      <c r="H74" s="92"/>
      <c r="I74" s="92"/>
      <c r="J74" s="92"/>
    </row>
    <row r="75" spans="1:10">
      <c r="A75" s="92"/>
      <c r="B75" s="96" t="s">
        <v>250</v>
      </c>
      <c r="C75" s="98">
        <f>C74+C73</f>
        <v>1045000</v>
      </c>
      <c r="D75" s="98"/>
      <c r="E75" s="98"/>
      <c r="F75" s="98" t="s">
        <v>39</v>
      </c>
      <c r="G75" s="98">
        <f>G74*0.25*-1</f>
        <v>124.99999999999997</v>
      </c>
      <c r="H75" s="92"/>
      <c r="I75" s="92"/>
      <c r="J75" s="92"/>
    </row>
    <row r="76" spans="1:10">
      <c r="A76" s="92"/>
      <c r="B76" s="96" t="s">
        <v>251</v>
      </c>
      <c r="C76" s="97">
        <f>C89</f>
        <v>-22500</v>
      </c>
      <c r="D76" s="98"/>
      <c r="E76" s="98"/>
      <c r="F76" s="97" t="s">
        <v>232</v>
      </c>
      <c r="G76" s="104">
        <f>G77-G74-G75</f>
        <v>-2281.25</v>
      </c>
      <c r="H76" s="92" t="s">
        <v>252</v>
      </c>
      <c r="I76" s="92"/>
      <c r="J76" s="92"/>
    </row>
    <row r="77" spans="1:10" ht="15">
      <c r="A77" s="92"/>
      <c r="B77" s="96" t="s">
        <v>253</v>
      </c>
      <c r="C77" s="97">
        <f>C118</f>
        <v>-22500</v>
      </c>
      <c r="D77" s="98"/>
      <c r="E77" s="98"/>
      <c r="F77" s="105" t="s">
        <v>13</v>
      </c>
      <c r="G77" s="79">
        <f>G71</f>
        <v>-2656.25</v>
      </c>
      <c r="H77" s="92"/>
      <c r="I77" s="92"/>
      <c r="J77" s="92"/>
    </row>
    <row r="78" spans="1:10" ht="24" customHeight="1">
      <c r="A78" s="92"/>
      <c r="B78" s="96" t="s">
        <v>245</v>
      </c>
      <c r="C78" s="98">
        <f>C75+C76+C77</f>
        <v>1000000</v>
      </c>
      <c r="D78" s="92"/>
      <c r="E78" s="92"/>
      <c r="F78" s="96"/>
      <c r="G78" s="96"/>
      <c r="H78" s="106"/>
      <c r="I78" s="92"/>
      <c r="J78" s="92"/>
    </row>
    <row r="79" spans="1:10">
      <c r="A79" s="92"/>
      <c r="B79" s="92"/>
      <c r="C79" s="92"/>
      <c r="D79" s="92"/>
      <c r="E79" s="92"/>
      <c r="F79" s="96"/>
      <c r="G79" s="96"/>
      <c r="H79" s="92"/>
      <c r="I79" s="92"/>
      <c r="J79" s="92"/>
    </row>
    <row r="80" spans="1:10" ht="15">
      <c r="A80" s="92"/>
      <c r="B80" s="107" t="s">
        <v>249</v>
      </c>
      <c r="C80" s="84" t="s">
        <v>182</v>
      </c>
      <c r="D80" s="84"/>
      <c r="E80" s="92"/>
      <c r="F80" s="92"/>
      <c r="G80" s="92"/>
      <c r="H80" s="84"/>
      <c r="I80" s="92"/>
      <c r="J80" s="92"/>
    </row>
    <row r="81" spans="1:10">
      <c r="A81" s="92"/>
      <c r="B81" s="96" t="s">
        <v>56</v>
      </c>
      <c r="C81" s="97">
        <f>(300000-240000)*B3</f>
        <v>12000</v>
      </c>
      <c r="D81" s="92"/>
      <c r="E81" s="92"/>
      <c r="F81" s="92"/>
      <c r="G81" s="92"/>
      <c r="H81" s="92"/>
      <c r="I81" s="92"/>
      <c r="J81" s="92"/>
    </row>
    <row r="82" spans="1:10">
      <c r="A82" s="92"/>
      <c r="B82" s="96" t="s">
        <v>39</v>
      </c>
      <c r="C82" s="97">
        <f>C81*0.25*-1</f>
        <v>-3000</v>
      </c>
      <c r="D82" s="92"/>
      <c r="E82" s="92"/>
      <c r="F82" s="92"/>
      <c r="G82" s="92"/>
      <c r="H82" s="92"/>
      <c r="I82" s="92"/>
      <c r="J82" s="92"/>
    </row>
    <row r="83" spans="1:10">
      <c r="A83" s="92"/>
      <c r="B83" s="92" t="s">
        <v>230</v>
      </c>
      <c r="C83" s="97">
        <f>(E89-F89)*0.2</f>
        <v>6000</v>
      </c>
      <c r="D83" s="92"/>
      <c r="E83" s="92"/>
      <c r="F83" s="92"/>
      <c r="G83" s="92"/>
      <c r="H83" s="92"/>
      <c r="I83" s="92"/>
      <c r="J83" s="92"/>
    </row>
    <row r="84" spans="1:10">
      <c r="A84" s="92"/>
      <c r="B84" s="92" t="s">
        <v>39</v>
      </c>
      <c r="C84" s="97">
        <f>C83*-0.25</f>
        <v>-1500</v>
      </c>
      <c r="D84" s="92"/>
      <c r="E84" s="92"/>
      <c r="F84" s="92"/>
      <c r="G84" s="92"/>
      <c r="H84" s="92"/>
      <c r="I84" s="92"/>
      <c r="J84" s="92"/>
    </row>
    <row r="85" spans="1:10">
      <c r="A85" s="92"/>
      <c r="B85" s="96" t="s">
        <v>232</v>
      </c>
      <c r="C85" s="104">
        <f>C86-C81-C82-C83-C84</f>
        <v>86500</v>
      </c>
      <c r="D85" s="108"/>
      <c r="E85" s="92"/>
      <c r="F85" s="92"/>
      <c r="G85" s="92"/>
      <c r="H85" s="108"/>
      <c r="I85" s="92"/>
      <c r="J85" s="92"/>
    </row>
    <row r="86" spans="1:10" ht="15">
      <c r="A86" s="92"/>
      <c r="B86" s="109" t="s">
        <v>13</v>
      </c>
      <c r="C86" s="79">
        <f>C70</f>
        <v>100000</v>
      </c>
      <c r="D86" s="80"/>
      <c r="E86" s="92"/>
      <c r="F86" s="92"/>
      <c r="G86" s="92"/>
      <c r="H86" s="80"/>
      <c r="I86" s="92"/>
      <c r="J86" s="92"/>
    </row>
    <row r="87" spans="1:10">
      <c r="A87" s="92"/>
      <c r="B87" s="92"/>
      <c r="C87" s="92"/>
      <c r="D87" s="92"/>
      <c r="E87" s="92"/>
      <c r="F87" s="92"/>
      <c r="G87" s="92"/>
      <c r="H87" s="92"/>
      <c r="I87" s="92"/>
      <c r="J87" s="92"/>
    </row>
    <row r="88" spans="1:10" ht="15">
      <c r="A88" s="110">
        <v>2</v>
      </c>
      <c r="B88" s="111" t="s">
        <v>254</v>
      </c>
      <c r="C88" s="92"/>
      <c r="D88" s="80" t="s">
        <v>255</v>
      </c>
      <c r="E88" s="80" t="s">
        <v>256</v>
      </c>
      <c r="F88" s="80" t="s">
        <v>257</v>
      </c>
      <c r="G88" s="92"/>
      <c r="H88" s="112" t="s">
        <v>258</v>
      </c>
      <c r="I88" s="92"/>
      <c r="J88" s="92"/>
    </row>
    <row r="89" spans="1:10">
      <c r="A89" s="92"/>
      <c r="B89" s="113" t="s">
        <v>182</v>
      </c>
      <c r="C89" s="97">
        <f>(F89-E89)*0.75</f>
        <v>-22500</v>
      </c>
      <c r="D89" s="92">
        <v>0.75</v>
      </c>
      <c r="E89" s="97">
        <v>150000</v>
      </c>
      <c r="F89" s="97">
        <f>150000*4/5</f>
        <v>120000</v>
      </c>
      <c r="G89" s="113" t="s">
        <v>182</v>
      </c>
      <c r="H89" s="92">
        <f>(E89-150000*4/5)*0.75</f>
        <v>22500</v>
      </c>
      <c r="I89" s="92"/>
      <c r="J89" s="92"/>
    </row>
    <row r="90" spans="1:10">
      <c r="A90" s="92"/>
      <c r="B90" s="113" t="s">
        <v>5</v>
      </c>
      <c r="C90" s="114">
        <f>C91-C89</f>
        <v>15000</v>
      </c>
      <c r="D90" s="92"/>
      <c r="E90" s="97"/>
      <c r="F90" s="97"/>
      <c r="G90" s="113" t="s">
        <v>259</v>
      </c>
      <c r="H90" s="92">
        <f>H89/4*-1</f>
        <v>-5625</v>
      </c>
      <c r="I90" s="92"/>
      <c r="J90" s="92"/>
    </row>
    <row r="91" spans="1:10">
      <c r="A91" s="92"/>
      <c r="B91" s="113" t="s">
        <v>197</v>
      </c>
      <c r="C91" s="98">
        <f>(F91-E91)*0.75</f>
        <v>-7500</v>
      </c>
      <c r="D91" s="92">
        <v>0.75</v>
      </c>
      <c r="E91" s="97">
        <v>100000</v>
      </c>
      <c r="F91" s="97">
        <f>150000*3/5</f>
        <v>90000</v>
      </c>
      <c r="G91" s="113" t="s">
        <v>260</v>
      </c>
      <c r="H91" s="108">
        <f>(E91-E89*3/4)*0.75</f>
        <v>-9375</v>
      </c>
      <c r="I91" s="92"/>
      <c r="J91" s="92"/>
    </row>
    <row r="92" spans="1:10">
      <c r="A92" s="92"/>
      <c r="B92" s="113" t="s">
        <v>5</v>
      </c>
      <c r="C92" s="104">
        <f>C93-C91</f>
        <v>15000</v>
      </c>
      <c r="D92" s="92"/>
      <c r="E92" s="97"/>
      <c r="F92" s="97"/>
      <c r="G92" s="113" t="s">
        <v>197</v>
      </c>
      <c r="H92" s="92">
        <f>H89+H90+H91</f>
        <v>7500</v>
      </c>
      <c r="I92" s="92"/>
      <c r="J92" s="92"/>
    </row>
    <row r="93" spans="1:10">
      <c r="A93" s="92"/>
      <c r="B93" s="113" t="s">
        <v>203</v>
      </c>
      <c r="C93" s="98">
        <f>(F93-E93)*0.75</f>
        <v>7500</v>
      </c>
      <c r="D93" s="92">
        <v>0.75</v>
      </c>
      <c r="E93" s="97">
        <v>50000</v>
      </c>
      <c r="F93" s="97">
        <f>150000*2/5</f>
        <v>60000</v>
      </c>
      <c r="G93" s="113" t="s">
        <v>259</v>
      </c>
      <c r="H93" s="92">
        <f>H92/3*-1</f>
        <v>-2500</v>
      </c>
      <c r="I93" s="92"/>
      <c r="J93" s="92"/>
    </row>
    <row r="94" spans="1:10">
      <c r="A94" s="92"/>
      <c r="B94" s="113" t="s">
        <v>5</v>
      </c>
      <c r="C94" s="104">
        <f>C95-C93</f>
        <v>-30000</v>
      </c>
      <c r="D94" s="92"/>
      <c r="E94" s="97"/>
      <c r="F94" s="97"/>
      <c r="G94" s="113" t="s">
        <v>260</v>
      </c>
      <c r="H94" s="115">
        <f>(H92+H93)*-1</f>
        <v>-5000</v>
      </c>
      <c r="I94" s="92" t="s">
        <v>261</v>
      </c>
      <c r="J94" s="92"/>
    </row>
    <row r="95" spans="1:10">
      <c r="A95" s="92"/>
      <c r="B95" s="113" t="s">
        <v>184</v>
      </c>
      <c r="C95" s="98">
        <f>(F95-E95)*0.75</f>
        <v>-22500</v>
      </c>
      <c r="D95" s="92">
        <v>0.75</v>
      </c>
      <c r="E95" s="97">
        <v>60000</v>
      </c>
      <c r="F95" s="97">
        <f>150000*1/5</f>
        <v>30000</v>
      </c>
      <c r="G95" s="113" t="s">
        <v>203</v>
      </c>
      <c r="H95" s="92">
        <f>H92+H93+H94</f>
        <v>0</v>
      </c>
      <c r="I95" s="92"/>
      <c r="J95" s="92"/>
    </row>
    <row r="96" spans="1:10">
      <c r="A96" s="92"/>
      <c r="B96" s="92"/>
      <c r="C96" s="98"/>
      <c r="D96" s="92"/>
      <c r="E96" s="97"/>
      <c r="F96" s="97"/>
      <c r="G96" s="113" t="s">
        <v>259</v>
      </c>
      <c r="H96" s="92">
        <v>0</v>
      </c>
      <c r="I96" s="92"/>
      <c r="J96" s="92"/>
    </row>
    <row r="97" spans="1:10" ht="15">
      <c r="A97" s="92"/>
      <c r="B97" s="84">
        <v>2012</v>
      </c>
      <c r="C97" s="98"/>
      <c r="D97" s="92"/>
      <c r="E97" s="97"/>
      <c r="F97" s="97"/>
      <c r="G97" s="113" t="s">
        <v>260</v>
      </c>
      <c r="H97" s="115">
        <f>H98</f>
        <v>22500</v>
      </c>
      <c r="I97" s="92" t="s">
        <v>262</v>
      </c>
      <c r="J97" s="92"/>
    </row>
    <row r="98" spans="1:10">
      <c r="A98" s="92"/>
      <c r="B98" s="113" t="s">
        <v>196</v>
      </c>
      <c r="C98" s="98">
        <f>(F98-E98)*0.75</f>
        <v>5625</v>
      </c>
      <c r="D98" s="92">
        <v>0.75</v>
      </c>
      <c r="E98" s="97">
        <f>E89/4*-1</f>
        <v>-37500</v>
      </c>
      <c r="F98" s="97">
        <f>F89/4*-1</f>
        <v>-30000</v>
      </c>
      <c r="G98" s="113" t="s">
        <v>203</v>
      </c>
      <c r="H98" s="92">
        <f>(E95-150000*1/5)*0.75</f>
        <v>22500</v>
      </c>
      <c r="I98" s="92"/>
      <c r="J98" s="92"/>
    </row>
    <row r="99" spans="1:10" ht="28.5">
      <c r="A99" s="116" t="s">
        <v>263</v>
      </c>
      <c r="B99" s="113" t="s">
        <v>264</v>
      </c>
      <c r="C99" s="104">
        <f>(F99-E99)*0.75</f>
        <v>9375</v>
      </c>
      <c r="D99" s="92">
        <v>0.75</v>
      </c>
      <c r="E99" s="97">
        <f>(E91-E89*3/4)</f>
        <v>-12500</v>
      </c>
      <c r="F99" s="97">
        <v>0</v>
      </c>
      <c r="G99" s="92"/>
      <c r="H99" s="92"/>
      <c r="I99" s="92"/>
      <c r="J99" s="92"/>
    </row>
    <row r="100" spans="1:10" ht="15">
      <c r="A100" s="92"/>
      <c r="B100" s="78" t="s">
        <v>265</v>
      </c>
      <c r="C100" s="79">
        <f>C99+C98</f>
        <v>15000</v>
      </c>
      <c r="D100" s="92"/>
      <c r="E100" s="97"/>
      <c r="F100" s="97"/>
      <c r="G100" s="92"/>
      <c r="H100" s="92"/>
      <c r="I100" s="92"/>
      <c r="J100" s="92"/>
    </row>
    <row r="101" spans="1:10" ht="15">
      <c r="A101" s="92"/>
      <c r="B101" s="84">
        <v>2013</v>
      </c>
      <c r="C101" s="98"/>
      <c r="D101" s="92"/>
      <c r="E101" s="97"/>
      <c r="F101" s="97"/>
      <c r="G101" s="92"/>
      <c r="H101" s="92"/>
      <c r="I101" s="92"/>
      <c r="J101" s="92"/>
    </row>
    <row r="102" spans="1:10">
      <c r="A102" s="92"/>
      <c r="B102" s="113" t="s">
        <v>196</v>
      </c>
      <c r="C102" s="98">
        <f>(F102-E102)*0.75</f>
        <v>2500.0000000000018</v>
      </c>
      <c r="D102" s="92">
        <v>0.75</v>
      </c>
      <c r="E102" s="97">
        <f>E91/3*-1</f>
        <v>-33333.333333333336</v>
      </c>
      <c r="F102" s="97">
        <f>F91/3*-1</f>
        <v>-30000</v>
      </c>
      <c r="G102" s="92"/>
      <c r="H102" s="92"/>
      <c r="I102" s="92"/>
      <c r="J102" s="92"/>
    </row>
    <row r="103" spans="1:10" ht="15">
      <c r="A103" s="92"/>
      <c r="B103" s="84" t="s">
        <v>266</v>
      </c>
      <c r="C103" s="98"/>
      <c r="D103" s="92"/>
      <c r="E103" s="97"/>
      <c r="F103" s="97"/>
      <c r="G103" s="92"/>
      <c r="H103" s="92"/>
      <c r="I103" s="92"/>
      <c r="J103" s="92"/>
    </row>
    <row r="104" spans="1:10" ht="28.5">
      <c r="A104" s="117" t="str">
        <f>A99</f>
        <v>לא רלוונטי כיוון שא לא מושכת</v>
      </c>
      <c r="B104" s="113" t="s">
        <v>267</v>
      </c>
      <c r="C104" s="98">
        <f>(E91*2/3-150000*2/5)*0.75</f>
        <v>5000.0000000000036</v>
      </c>
      <c r="D104" s="92"/>
      <c r="E104" s="97"/>
      <c r="F104" s="97"/>
      <c r="G104" s="92"/>
      <c r="H104" s="92"/>
      <c r="I104" s="92"/>
      <c r="J104" s="92"/>
    </row>
    <row r="105" spans="1:10">
      <c r="A105" s="92"/>
      <c r="B105" s="113" t="s">
        <v>205</v>
      </c>
      <c r="C105" s="104">
        <f>(50000-150000*2/5)*0.75*-1</f>
        <v>7500</v>
      </c>
      <c r="D105" s="92"/>
      <c r="E105" s="97"/>
      <c r="F105" s="97"/>
      <c r="G105" s="92"/>
      <c r="H105" s="92"/>
      <c r="I105" s="92"/>
      <c r="J105" s="92"/>
    </row>
    <row r="106" spans="1:10">
      <c r="A106" s="92"/>
      <c r="B106" s="113" t="s">
        <v>268</v>
      </c>
      <c r="C106" s="73">
        <f>(F106-E106)*0.75</f>
        <v>12500.000000000004</v>
      </c>
      <c r="D106" s="92">
        <v>0.75</v>
      </c>
      <c r="E106" s="97">
        <f>(E93-E91*2/3)</f>
        <v>-16666.666666666672</v>
      </c>
      <c r="F106" s="97">
        <v>0</v>
      </c>
      <c r="G106" s="92"/>
      <c r="H106" s="92"/>
      <c r="I106" s="92"/>
      <c r="J106" s="92"/>
    </row>
    <row r="107" spans="1:10" ht="15">
      <c r="A107" s="92"/>
      <c r="B107" s="78" t="s">
        <v>265</v>
      </c>
      <c r="C107" s="79">
        <f>C106+C102</f>
        <v>15000.000000000005</v>
      </c>
      <c r="D107" s="92"/>
      <c r="E107" s="97"/>
      <c r="F107" s="97"/>
      <c r="G107" s="92"/>
      <c r="H107" s="92"/>
      <c r="I107" s="92"/>
      <c r="J107" s="92"/>
    </row>
    <row r="108" spans="1:10" ht="15">
      <c r="A108" s="92"/>
      <c r="B108" s="84">
        <v>2014</v>
      </c>
      <c r="C108" s="98"/>
      <c r="D108" s="92"/>
      <c r="E108" s="97"/>
      <c r="F108" s="97"/>
      <c r="G108" s="92"/>
      <c r="H108" s="92"/>
      <c r="I108" s="92"/>
      <c r="J108" s="92"/>
    </row>
    <row r="109" spans="1:10">
      <c r="A109" s="92"/>
      <c r="B109" s="113" t="s">
        <v>196</v>
      </c>
      <c r="C109" s="98">
        <f>(F109-E109)*0.75</f>
        <v>-3750</v>
      </c>
      <c r="D109" s="92">
        <v>0.75</v>
      </c>
      <c r="E109" s="97">
        <f>E93/2*-1</f>
        <v>-25000</v>
      </c>
      <c r="F109" s="97">
        <f>F93/2*-1</f>
        <v>-30000</v>
      </c>
      <c r="G109" s="92"/>
      <c r="H109" s="92"/>
      <c r="I109" s="92"/>
      <c r="J109" s="92"/>
    </row>
    <row r="110" spans="1:10" ht="15">
      <c r="A110" s="92"/>
      <c r="B110" s="84" t="s">
        <v>266</v>
      </c>
      <c r="C110" s="98"/>
      <c r="D110" s="92"/>
      <c r="E110" s="97"/>
      <c r="F110" s="97"/>
      <c r="G110" s="92"/>
      <c r="H110" s="92"/>
      <c r="I110" s="92"/>
      <c r="J110" s="92"/>
    </row>
    <row r="111" spans="1:10">
      <c r="A111" s="92"/>
      <c r="B111" s="113" t="s">
        <v>219</v>
      </c>
      <c r="C111" s="98">
        <f>C105*1/2*-1</f>
        <v>-3750</v>
      </c>
      <c r="D111" s="92"/>
      <c r="E111" s="97"/>
      <c r="F111" s="97"/>
      <c r="G111" s="92"/>
      <c r="H111" s="92"/>
      <c r="I111" s="92"/>
      <c r="J111" s="92"/>
    </row>
    <row r="112" spans="1:10" ht="28.5">
      <c r="A112" s="116" t="str">
        <f>A104</f>
        <v>לא רלוונטי כיוון שא לא מושכת</v>
      </c>
      <c r="B112" s="113" t="s">
        <v>267</v>
      </c>
      <c r="C112" s="104">
        <f>(E95-150000*1/5)*0.75*-1</f>
        <v>-22500</v>
      </c>
      <c r="D112" s="92"/>
      <c r="E112" s="97"/>
      <c r="F112" s="97"/>
      <c r="G112" s="92"/>
      <c r="H112" s="92"/>
      <c r="I112" s="92"/>
      <c r="J112" s="92"/>
    </row>
    <row r="113" spans="1:10">
      <c r="A113" s="92"/>
      <c r="B113" s="113" t="s">
        <v>268</v>
      </c>
      <c r="C113" s="98">
        <f>F113-E113</f>
        <v>-26250</v>
      </c>
      <c r="D113" s="92">
        <v>0.75</v>
      </c>
      <c r="E113" s="97">
        <f>(E95-E93*1/2)*0.75</f>
        <v>26250</v>
      </c>
      <c r="F113" s="97">
        <v>0</v>
      </c>
      <c r="G113" s="92"/>
      <c r="H113" s="92"/>
      <c r="I113" s="92"/>
      <c r="J113" s="92"/>
    </row>
    <row r="114" spans="1:10" ht="15">
      <c r="A114" s="92"/>
      <c r="B114" s="78" t="s">
        <v>265</v>
      </c>
      <c r="C114" s="79">
        <f>C113+C109</f>
        <v>-30000</v>
      </c>
      <c r="D114" s="92"/>
      <c r="E114" s="97"/>
      <c r="F114" s="97"/>
      <c r="G114" s="92"/>
      <c r="H114" s="92"/>
      <c r="I114" s="92"/>
      <c r="J114" s="92"/>
    </row>
    <row r="115" spans="1:10" ht="15">
      <c r="A115" s="92"/>
      <c r="B115" s="78"/>
      <c r="C115" s="79"/>
      <c r="D115" s="92"/>
      <c r="E115" s="92"/>
      <c r="F115" s="92"/>
      <c r="G115" s="92"/>
      <c r="H115" s="92"/>
      <c r="I115" s="92"/>
      <c r="J115" s="92"/>
    </row>
    <row r="116" spans="1:10" ht="15">
      <c r="A116" s="110">
        <v>3</v>
      </c>
      <c r="B116" s="118" t="s">
        <v>269</v>
      </c>
      <c r="C116" s="98"/>
      <c r="D116" s="92"/>
      <c r="E116" s="92"/>
      <c r="F116" s="92"/>
      <c r="G116" s="92"/>
      <c r="H116" s="92"/>
      <c r="I116" s="92"/>
      <c r="J116" s="92"/>
    </row>
    <row r="117" spans="1:10" ht="15">
      <c r="A117" s="92"/>
      <c r="B117" s="84"/>
      <c r="C117" s="98"/>
      <c r="D117" s="92"/>
      <c r="E117" s="92" t="s">
        <v>256</v>
      </c>
      <c r="F117" s="92" t="s">
        <v>257</v>
      </c>
      <c r="G117" s="92"/>
      <c r="H117" s="92"/>
      <c r="I117" s="92"/>
      <c r="J117" s="92"/>
    </row>
    <row r="118" spans="1:10">
      <c r="A118" s="92"/>
      <c r="B118" s="113" t="s">
        <v>182</v>
      </c>
      <c r="C118" s="98">
        <f>(F118-E118)*0.75</f>
        <v>-22500</v>
      </c>
      <c r="D118" s="92">
        <v>0.75</v>
      </c>
      <c r="E118" s="97">
        <v>270000</v>
      </c>
      <c r="F118" s="97">
        <v>240000</v>
      </c>
      <c r="G118" s="92"/>
      <c r="H118" s="92"/>
      <c r="I118" s="92"/>
      <c r="J118" s="92"/>
    </row>
    <row r="119" spans="1:10">
      <c r="A119" s="92"/>
      <c r="B119" s="113" t="s">
        <v>5</v>
      </c>
      <c r="C119" s="104">
        <f>C120-C118</f>
        <v>30000</v>
      </c>
      <c r="D119" s="92"/>
      <c r="E119" s="97"/>
      <c r="F119" s="97"/>
      <c r="G119" s="92"/>
      <c r="H119" s="92"/>
      <c r="I119" s="92"/>
      <c r="J119" s="92"/>
    </row>
    <row r="120" spans="1:10">
      <c r="A120" s="92"/>
      <c r="B120" s="113" t="s">
        <v>197</v>
      </c>
      <c r="C120" s="98">
        <f>(F120-E120)*0.75</f>
        <v>7500</v>
      </c>
      <c r="D120" s="92">
        <v>0.75</v>
      </c>
      <c r="E120" s="97">
        <v>220000</v>
      </c>
      <c r="F120" s="97">
        <v>230000</v>
      </c>
      <c r="G120" s="92"/>
      <c r="H120" s="92"/>
      <c r="I120" s="92"/>
      <c r="J120" s="92"/>
    </row>
    <row r="121" spans="1:10">
      <c r="A121" s="92"/>
      <c r="B121" s="113" t="s">
        <v>5</v>
      </c>
      <c r="C121" s="104">
        <f>C122-C120</f>
        <v>-7500</v>
      </c>
      <c r="D121" s="92"/>
      <c r="E121" s="97"/>
      <c r="F121" s="97"/>
      <c r="G121" s="92"/>
      <c r="H121" s="92"/>
      <c r="I121" s="92"/>
      <c r="J121" s="92"/>
    </row>
    <row r="122" spans="1:10">
      <c r="A122" s="92"/>
      <c r="B122" s="113" t="s">
        <v>203</v>
      </c>
      <c r="C122" s="98">
        <f>(F122-E122)*0.75</f>
        <v>0</v>
      </c>
      <c r="D122" s="92">
        <v>0.75</v>
      </c>
      <c r="E122" s="97">
        <v>270000</v>
      </c>
      <c r="F122" s="97">
        <v>270000</v>
      </c>
      <c r="G122" s="92"/>
      <c r="H122" s="92"/>
      <c r="I122" s="92"/>
      <c r="J122" s="92"/>
    </row>
    <row r="123" spans="1:10">
      <c r="A123" s="92"/>
      <c r="B123" s="113" t="s">
        <v>5</v>
      </c>
      <c r="C123" s="104">
        <f>C124-C122</f>
        <v>-30000</v>
      </c>
      <c r="D123" s="92"/>
      <c r="E123" s="97"/>
      <c r="F123" s="97"/>
      <c r="G123" s="92"/>
      <c r="H123" s="92"/>
      <c r="I123" s="92"/>
      <c r="J123" s="92"/>
    </row>
    <row r="124" spans="1:10">
      <c r="A124" s="92"/>
      <c r="B124" s="113" t="s">
        <v>184</v>
      </c>
      <c r="C124" s="98">
        <f>(F124-E124)*0.75</f>
        <v>-30000</v>
      </c>
      <c r="D124" s="92">
        <v>0.75</v>
      </c>
      <c r="E124" s="97">
        <v>140000</v>
      </c>
      <c r="F124" s="97">
        <v>100000</v>
      </c>
      <c r="G124" s="92"/>
      <c r="H124" s="92"/>
      <c r="I124" s="92"/>
      <c r="J124" s="92"/>
    </row>
    <row r="125" spans="1:10">
      <c r="A125" s="92"/>
      <c r="B125" s="113"/>
      <c r="C125" s="98"/>
      <c r="D125" s="92"/>
      <c r="E125" s="92"/>
      <c r="F125" s="92"/>
      <c r="G125" s="92"/>
      <c r="H125" s="92"/>
      <c r="I125" s="92"/>
      <c r="J125" s="92"/>
    </row>
    <row r="126" spans="1:10" ht="15">
      <c r="A126" s="110">
        <v>4</v>
      </c>
      <c r="B126" s="118" t="s">
        <v>270</v>
      </c>
      <c r="C126" s="98"/>
      <c r="D126" s="92"/>
      <c r="E126" s="92"/>
      <c r="F126" s="92"/>
      <c r="G126" s="92"/>
      <c r="H126" s="92"/>
      <c r="I126" s="92"/>
      <c r="J126" s="92"/>
    </row>
    <row r="127" spans="1:10">
      <c r="A127" s="92"/>
      <c r="B127" s="113"/>
      <c r="C127" s="98"/>
      <c r="D127" s="92"/>
      <c r="E127" s="92"/>
      <c r="F127" s="92"/>
      <c r="G127" s="92"/>
      <c r="H127" s="92"/>
      <c r="I127" s="92"/>
      <c r="J127" s="92"/>
    </row>
    <row r="128" spans="1:10" ht="15">
      <c r="A128" s="92"/>
      <c r="B128" s="84" t="s">
        <v>271</v>
      </c>
      <c r="C128" s="98" t="s">
        <v>272</v>
      </c>
      <c r="D128" s="92"/>
      <c r="E128" s="92"/>
      <c r="F128" s="92"/>
      <c r="G128" s="92"/>
      <c r="H128" s="92"/>
      <c r="I128" s="92"/>
      <c r="J128" s="92"/>
    </row>
    <row r="129" spans="1:10">
      <c r="A129" s="92"/>
      <c r="B129" s="113" t="s">
        <v>273</v>
      </c>
      <c r="C129" s="98">
        <f>-100000*0.25*0.75*0.2</f>
        <v>-3750</v>
      </c>
      <c r="D129" s="92"/>
      <c r="E129" s="92"/>
      <c r="F129" s="92"/>
      <c r="G129" s="92"/>
      <c r="H129" s="92"/>
      <c r="I129" s="92"/>
      <c r="J129" s="92"/>
    </row>
    <row r="130" spans="1:10">
      <c r="A130" s="92"/>
      <c r="B130" s="113" t="s">
        <v>209</v>
      </c>
      <c r="C130" s="104">
        <f>C129*0.5*-1</f>
        <v>1875</v>
      </c>
      <c r="D130" s="92"/>
      <c r="E130" s="92"/>
      <c r="F130" s="92"/>
      <c r="G130" s="92"/>
      <c r="H130" s="92"/>
      <c r="I130" s="92"/>
      <c r="J130" s="92"/>
    </row>
    <row r="131" spans="1:10">
      <c r="A131" s="92"/>
      <c r="B131" s="113" t="s">
        <v>203</v>
      </c>
      <c r="C131" s="98">
        <f>C129+C130</f>
        <v>-1875</v>
      </c>
      <c r="D131" s="92"/>
      <c r="E131" s="92"/>
      <c r="F131" s="92"/>
      <c r="G131" s="92"/>
      <c r="H131" s="92"/>
      <c r="I131" s="92"/>
      <c r="J131" s="92"/>
    </row>
    <row r="132" spans="1:10">
      <c r="A132" s="92"/>
      <c r="B132" s="113" t="s">
        <v>209</v>
      </c>
      <c r="C132" s="104">
        <f>C129*0.25*-1</f>
        <v>937.5</v>
      </c>
      <c r="D132" s="92"/>
      <c r="E132" s="92"/>
      <c r="F132" s="92"/>
      <c r="G132" s="92"/>
      <c r="H132" s="92"/>
      <c r="I132" s="92"/>
      <c r="J132" s="92"/>
    </row>
    <row r="133" spans="1:10">
      <c r="A133" s="92"/>
      <c r="B133" s="113" t="s">
        <v>184</v>
      </c>
      <c r="C133" s="98">
        <f>C131+C132</f>
        <v>-937.5</v>
      </c>
      <c r="D133" s="92"/>
      <c r="E133" s="92"/>
      <c r="F133" s="92"/>
      <c r="G133" s="92"/>
      <c r="H133" s="92"/>
      <c r="I133" s="92"/>
      <c r="J133" s="92"/>
    </row>
    <row r="134" spans="1:10">
      <c r="A134" s="92"/>
      <c r="B134" s="113"/>
      <c r="C134" s="98"/>
      <c r="D134" s="92"/>
      <c r="E134" s="92"/>
      <c r="F134" s="92"/>
      <c r="G134" s="92"/>
      <c r="H134" s="92"/>
      <c r="I134" s="92"/>
      <c r="J134" s="92"/>
    </row>
    <row r="135" spans="1:10" ht="15">
      <c r="A135" s="92"/>
      <c r="B135" s="84" t="s">
        <v>274</v>
      </c>
      <c r="C135" s="98" t="s">
        <v>275</v>
      </c>
      <c r="D135" s="92"/>
      <c r="E135" s="92"/>
      <c r="F135" s="92"/>
      <c r="G135" s="92"/>
      <c r="H135" s="92"/>
      <c r="I135" s="92"/>
      <c r="J135" s="92"/>
    </row>
    <row r="136" spans="1:10" ht="15">
      <c r="A136" s="92"/>
      <c r="B136" s="84"/>
      <c r="C136" s="98"/>
      <c r="D136" s="92"/>
      <c r="E136" s="92"/>
      <c r="F136" s="92"/>
      <c r="G136" s="92"/>
      <c r="H136" s="92"/>
      <c r="I136" s="92"/>
      <c r="J136" s="92"/>
    </row>
    <row r="137" spans="1:10" ht="15">
      <c r="A137" s="92"/>
      <c r="B137" s="119" t="s">
        <v>276</v>
      </c>
      <c r="C137" s="98"/>
      <c r="D137" s="92"/>
      <c r="E137" s="92"/>
      <c r="F137" s="92"/>
      <c r="G137" s="92"/>
      <c r="H137" s="92"/>
      <c r="I137" s="92"/>
      <c r="J137" s="92"/>
    </row>
    <row r="138" spans="1:10">
      <c r="A138" s="92"/>
      <c r="B138" s="113" t="s">
        <v>273</v>
      </c>
      <c r="C138" s="98">
        <f>(330000*1/3-300000*1/3)*0.8*0.2*-1</f>
        <v>-1600</v>
      </c>
      <c r="D138" s="92" t="s">
        <v>277</v>
      </c>
      <c r="E138" s="92"/>
      <c r="F138" s="92"/>
      <c r="G138" s="92"/>
      <c r="H138" s="92"/>
      <c r="I138" s="92"/>
      <c r="J138" s="92"/>
    </row>
    <row r="139" spans="1:10">
      <c r="A139" s="92"/>
      <c r="B139" s="113" t="s">
        <v>209</v>
      </c>
      <c r="C139" s="120">
        <v>0</v>
      </c>
      <c r="D139" s="92"/>
      <c r="E139" s="92"/>
      <c r="F139" s="92"/>
      <c r="G139" s="92"/>
      <c r="H139" s="92"/>
      <c r="I139" s="92"/>
      <c r="J139" s="92"/>
    </row>
    <row r="140" spans="1:10">
      <c r="A140" s="92"/>
      <c r="B140" s="113" t="s">
        <v>203</v>
      </c>
      <c r="C140" s="98">
        <f>C138</f>
        <v>-1600</v>
      </c>
      <c r="D140" s="92"/>
      <c r="E140" s="92"/>
      <c r="F140" s="92"/>
      <c r="G140" s="92"/>
      <c r="H140" s="92"/>
      <c r="I140" s="92"/>
      <c r="J140" s="92"/>
    </row>
    <row r="141" spans="1:10">
      <c r="A141" s="92"/>
      <c r="B141" s="113" t="s">
        <v>209</v>
      </c>
      <c r="C141" s="120">
        <v>0</v>
      </c>
      <c r="D141" s="92"/>
      <c r="E141" s="92"/>
      <c r="F141" s="92"/>
      <c r="G141" s="92"/>
      <c r="H141" s="92"/>
      <c r="I141" s="92"/>
      <c r="J141" s="92"/>
    </row>
    <row r="142" spans="1:10">
      <c r="A142" s="92"/>
      <c r="B142" s="113" t="s">
        <v>184</v>
      </c>
      <c r="C142" s="98">
        <f>C140</f>
        <v>-1600</v>
      </c>
      <c r="D142" s="92"/>
      <c r="E142" s="92"/>
      <c r="F142" s="92"/>
      <c r="G142" s="92"/>
      <c r="H142" s="92"/>
      <c r="I142" s="92"/>
      <c r="J142" s="92"/>
    </row>
    <row r="143" spans="1:10">
      <c r="A143" s="92"/>
      <c r="B143" s="113" t="s">
        <v>278</v>
      </c>
      <c r="C143" s="121">
        <f>C144-C142</f>
        <v>320</v>
      </c>
      <c r="D143" s="92" t="s">
        <v>279</v>
      </c>
      <c r="E143" s="92"/>
      <c r="F143" s="92"/>
      <c r="G143" s="92"/>
      <c r="H143" s="92"/>
      <c r="I143" s="92"/>
      <c r="J143" s="92"/>
    </row>
    <row r="144" spans="1:10">
      <c r="A144" s="92"/>
      <c r="B144" s="113" t="s">
        <v>184</v>
      </c>
      <c r="C144" s="98">
        <f>C142*0.2/0.25</f>
        <v>-1280</v>
      </c>
      <c r="D144" s="92"/>
      <c r="E144" s="92"/>
      <c r="F144" s="92"/>
      <c r="G144" s="92"/>
      <c r="H144" s="92"/>
      <c r="I144" s="92"/>
      <c r="J144" s="92"/>
    </row>
    <row r="145" spans="1:10">
      <c r="A145" s="92"/>
      <c r="B145" s="113"/>
      <c r="C145" s="98"/>
      <c r="D145" s="92"/>
      <c r="E145" s="92"/>
      <c r="F145" s="92"/>
      <c r="G145" s="92"/>
      <c r="H145" s="92"/>
      <c r="I145" s="92"/>
      <c r="J145" s="92"/>
    </row>
    <row r="146" spans="1:10" ht="15">
      <c r="A146" s="92"/>
      <c r="B146" s="84" t="s">
        <v>280</v>
      </c>
      <c r="C146" s="98"/>
      <c r="D146" s="92"/>
      <c r="E146" s="92"/>
      <c r="F146" s="92"/>
      <c r="G146" s="92"/>
      <c r="H146" s="92"/>
      <c r="I146" s="92"/>
      <c r="J146" s="92"/>
    </row>
    <row r="147" spans="1:10">
      <c r="A147" s="92"/>
      <c r="B147" s="113" t="s">
        <v>273</v>
      </c>
      <c r="C147" s="98">
        <f>(330000*2/3-300000*2/3*9/10)*0.75*0.2*-1</f>
        <v>-6000</v>
      </c>
      <c r="D147" s="92"/>
      <c r="E147" s="92"/>
      <c r="F147" s="92"/>
      <c r="G147" s="92"/>
      <c r="H147" s="92"/>
      <c r="I147" s="92"/>
      <c r="J147" s="92"/>
    </row>
    <row r="148" spans="1:10">
      <c r="A148" s="92"/>
      <c r="B148" s="113" t="s">
        <v>209</v>
      </c>
      <c r="C148" s="120">
        <f>C147/9*-1</f>
        <v>666.66666666666663</v>
      </c>
      <c r="D148" s="92"/>
      <c r="E148" s="92"/>
      <c r="F148" s="92"/>
      <c r="G148" s="92"/>
      <c r="H148" s="92"/>
      <c r="I148" s="92"/>
      <c r="J148" s="92"/>
    </row>
    <row r="149" spans="1:10">
      <c r="A149" s="92"/>
      <c r="B149" s="113" t="s">
        <v>203</v>
      </c>
      <c r="C149" s="98">
        <f>C147*8/9</f>
        <v>-5333.333333333333</v>
      </c>
      <c r="D149" s="92"/>
      <c r="E149" s="92"/>
      <c r="F149" s="92"/>
      <c r="G149" s="92"/>
      <c r="H149" s="92"/>
      <c r="I149" s="92"/>
      <c r="J149" s="92"/>
    </row>
    <row r="150" spans="1:10">
      <c r="A150" s="92"/>
      <c r="B150" s="113" t="s">
        <v>209</v>
      </c>
      <c r="C150" s="120">
        <f>C148</f>
        <v>666.66666666666663</v>
      </c>
      <c r="D150" s="92"/>
      <c r="E150" s="92"/>
      <c r="F150" s="92"/>
      <c r="G150" s="92"/>
      <c r="H150" s="92"/>
      <c r="I150" s="92"/>
      <c r="J150" s="92"/>
    </row>
    <row r="151" spans="1:10">
      <c r="A151" s="92"/>
      <c r="B151" s="113" t="s">
        <v>184</v>
      </c>
      <c r="C151" s="98">
        <f>C149+C150</f>
        <v>-4666.6666666666661</v>
      </c>
      <c r="D151" s="92"/>
      <c r="E151" s="92"/>
      <c r="F151" s="92"/>
      <c r="G151" s="92"/>
      <c r="H151" s="92"/>
      <c r="I151" s="92"/>
      <c r="J151" s="92"/>
    </row>
    <row r="152" spans="1:10">
      <c r="A152" s="92"/>
      <c r="B152" s="113" t="s">
        <v>278</v>
      </c>
      <c r="C152" s="121">
        <f>C153-C151</f>
        <v>933.33333333333303</v>
      </c>
      <c r="D152" s="92" t="s">
        <v>279</v>
      </c>
      <c r="E152" s="92"/>
      <c r="F152" s="92"/>
      <c r="G152" s="92"/>
      <c r="H152" s="92"/>
      <c r="I152" s="92"/>
      <c r="J152" s="92"/>
    </row>
    <row r="153" spans="1:10">
      <c r="A153" s="92"/>
      <c r="B153" s="113" t="s">
        <v>184</v>
      </c>
      <c r="C153" s="98">
        <f>C151*0.2/0.25</f>
        <v>-3733.333333333333</v>
      </c>
      <c r="D153" s="92"/>
      <c r="E153" s="92"/>
      <c r="F153" s="92"/>
      <c r="G153" s="92"/>
      <c r="H153" s="92"/>
      <c r="I153" s="92"/>
      <c r="J153" s="92"/>
    </row>
    <row r="154" spans="1:10">
      <c r="A154" s="92"/>
      <c r="B154" s="113"/>
      <c r="C154" s="98"/>
      <c r="D154" s="92"/>
      <c r="E154" s="92"/>
      <c r="F154" s="92"/>
      <c r="G154" s="92"/>
      <c r="H154" s="92"/>
      <c r="I154" s="92"/>
      <c r="J154" s="92"/>
    </row>
    <row r="155" spans="1:10" ht="15">
      <c r="A155" s="110">
        <v>5</v>
      </c>
      <c r="B155" s="118" t="s">
        <v>281</v>
      </c>
      <c r="C155" s="98"/>
      <c r="D155" s="92"/>
      <c r="E155" s="92"/>
      <c r="F155" s="92"/>
      <c r="G155" s="92"/>
      <c r="H155" s="92"/>
      <c r="I155" s="122">
        <v>0.25</v>
      </c>
      <c r="J155" s="122">
        <v>0.2</v>
      </c>
    </row>
    <row r="156" spans="1:10" ht="15">
      <c r="A156" s="92"/>
      <c r="B156" s="123"/>
      <c r="C156" s="103" t="s">
        <v>182</v>
      </c>
      <c r="D156" s="84" t="s">
        <v>259</v>
      </c>
      <c r="E156" s="84" t="s">
        <v>197</v>
      </c>
      <c r="F156" s="84" t="s">
        <v>259</v>
      </c>
      <c r="G156" s="84" t="s">
        <v>203</v>
      </c>
      <c r="H156" s="84" t="s">
        <v>259</v>
      </c>
      <c r="I156" s="84" t="s">
        <v>184</v>
      </c>
      <c r="J156" s="84" t="s">
        <v>184</v>
      </c>
    </row>
    <row r="157" spans="1:10">
      <c r="A157" s="92"/>
      <c r="B157" s="124" t="s">
        <v>56</v>
      </c>
      <c r="C157" s="98">
        <f t="shared" ref="C157:C162" si="0">C81</f>
        <v>12000</v>
      </c>
      <c r="D157" s="98">
        <f>-C157</f>
        <v>-12000</v>
      </c>
      <c r="E157" s="98">
        <f>C157+D157</f>
        <v>0</v>
      </c>
      <c r="F157" s="98">
        <v>0</v>
      </c>
      <c r="G157" s="98">
        <v>0</v>
      </c>
      <c r="H157" s="98">
        <v>0</v>
      </c>
      <c r="I157" s="98">
        <v>0</v>
      </c>
      <c r="J157" s="98">
        <f t="shared" ref="J157:J162" si="1">I157*$J$155/$I$155</f>
        <v>0</v>
      </c>
    </row>
    <row r="158" spans="1:10">
      <c r="A158" s="92"/>
      <c r="B158" s="124" t="s">
        <v>39</v>
      </c>
      <c r="C158" s="98">
        <f t="shared" si="0"/>
        <v>-3000</v>
      </c>
      <c r="D158" s="98">
        <f>-C158</f>
        <v>3000</v>
      </c>
      <c r="E158" s="98">
        <f>C158+D158</f>
        <v>0</v>
      </c>
      <c r="F158" s="98">
        <v>0</v>
      </c>
      <c r="G158" s="98">
        <v>0</v>
      </c>
      <c r="H158" s="98">
        <v>0</v>
      </c>
      <c r="I158" s="98">
        <v>0</v>
      </c>
      <c r="J158" s="98">
        <f t="shared" si="1"/>
        <v>0</v>
      </c>
    </row>
    <row r="159" spans="1:10">
      <c r="A159" s="92"/>
      <c r="B159" s="113" t="s">
        <v>230</v>
      </c>
      <c r="C159" s="98">
        <f t="shared" si="0"/>
        <v>6000</v>
      </c>
      <c r="D159" s="98">
        <f>C159/4*-1</f>
        <v>-1500</v>
      </c>
      <c r="E159" s="98">
        <f>C159+D159</f>
        <v>4500</v>
      </c>
      <c r="F159" s="98">
        <f>D159</f>
        <v>-1500</v>
      </c>
      <c r="G159" s="98">
        <f>E159+F159</f>
        <v>3000</v>
      </c>
      <c r="H159" s="98">
        <f>D159</f>
        <v>-1500</v>
      </c>
      <c r="I159" s="98">
        <f>H159+G159</f>
        <v>1500</v>
      </c>
      <c r="J159" s="98">
        <f t="shared" si="1"/>
        <v>1200</v>
      </c>
    </row>
    <row r="160" spans="1:10">
      <c r="A160" s="92"/>
      <c r="B160" s="113" t="s">
        <v>39</v>
      </c>
      <c r="C160" s="98">
        <f t="shared" si="0"/>
        <v>-1500</v>
      </c>
      <c r="D160" s="98">
        <f>D159*0.25*-1</f>
        <v>375</v>
      </c>
      <c r="E160" s="98">
        <f>C160+D160</f>
        <v>-1125</v>
      </c>
      <c r="F160" s="98">
        <f>F159*0.25*-1</f>
        <v>375</v>
      </c>
      <c r="G160" s="98">
        <f>G159*0.25*-1</f>
        <v>-750</v>
      </c>
      <c r="H160" s="98">
        <f>H159*0.25*-1</f>
        <v>375</v>
      </c>
      <c r="I160" s="98">
        <f>I159*0.25*-1</f>
        <v>-375</v>
      </c>
      <c r="J160" s="98">
        <f t="shared" si="1"/>
        <v>-300</v>
      </c>
    </row>
    <row r="161" spans="1:10">
      <c r="A161" s="92"/>
      <c r="B161" s="124" t="s">
        <v>232</v>
      </c>
      <c r="C161" s="77">
        <f t="shared" si="0"/>
        <v>86500</v>
      </c>
      <c r="D161" s="77"/>
      <c r="E161" s="125">
        <f>C161+D161</f>
        <v>86500</v>
      </c>
      <c r="F161" s="120"/>
      <c r="G161" s="120">
        <f>E161</f>
        <v>86500</v>
      </c>
      <c r="H161" s="120"/>
      <c r="I161" s="120">
        <f>G161</f>
        <v>86500</v>
      </c>
      <c r="J161" s="120">
        <f t="shared" si="1"/>
        <v>69200</v>
      </c>
    </row>
    <row r="162" spans="1:10" ht="15">
      <c r="A162" s="92"/>
      <c r="B162" s="126" t="s">
        <v>13</v>
      </c>
      <c r="C162" s="79">
        <f t="shared" si="0"/>
        <v>100000</v>
      </c>
      <c r="D162" s="79">
        <f>SUM(D157:D161)</f>
        <v>-10125</v>
      </c>
      <c r="E162" s="79">
        <f>E157+E158++E159+E160+E161</f>
        <v>89875</v>
      </c>
      <c r="F162" s="79">
        <f>F157+F158++F159+F160+F161</f>
        <v>-1125</v>
      </c>
      <c r="G162" s="79">
        <f>G157+G158++G159+G160+G161</f>
        <v>88750</v>
      </c>
      <c r="H162" s="79">
        <f>H157+H158++H159+H160+H161</f>
        <v>-1125</v>
      </c>
      <c r="I162" s="79">
        <f>I157+I158++I159+I160+I161</f>
        <v>87625</v>
      </c>
      <c r="J162" s="79">
        <f t="shared" si="1"/>
        <v>70100</v>
      </c>
    </row>
    <row r="163" spans="1:10">
      <c r="A163" s="92"/>
      <c r="B163" s="113"/>
      <c r="C163" s="98"/>
      <c r="D163" s="98"/>
      <c r="E163" s="98"/>
      <c r="F163" s="98"/>
      <c r="G163" s="98"/>
      <c r="H163" s="98"/>
      <c r="I163" s="98"/>
      <c r="J163" s="98"/>
    </row>
    <row r="164" spans="1:10" ht="15">
      <c r="A164" s="92"/>
      <c r="B164" s="118" t="s">
        <v>282</v>
      </c>
      <c r="C164" s="98"/>
      <c r="D164" s="92"/>
      <c r="E164" s="92"/>
      <c r="F164" s="92"/>
      <c r="G164" s="92"/>
      <c r="H164" s="92"/>
      <c r="I164" s="122">
        <v>0.25</v>
      </c>
      <c r="J164" s="122">
        <v>0.2</v>
      </c>
    </row>
    <row r="165" spans="1:10" ht="15">
      <c r="A165" s="92"/>
      <c r="B165" s="123"/>
      <c r="C165" s="103"/>
      <c r="D165" s="84"/>
      <c r="E165" s="84"/>
      <c r="F165" s="84" t="s">
        <v>183</v>
      </c>
      <c r="G165" s="67" t="s">
        <v>283</v>
      </c>
      <c r="H165" s="84" t="s">
        <v>259</v>
      </c>
      <c r="I165" s="84" t="s">
        <v>184</v>
      </c>
      <c r="J165" s="84" t="s">
        <v>184</v>
      </c>
    </row>
    <row r="166" spans="1:10">
      <c r="A166" s="92"/>
      <c r="B166" s="113"/>
      <c r="C166" s="98"/>
      <c r="D166" s="92"/>
      <c r="E166" s="92" t="s">
        <v>230</v>
      </c>
      <c r="F166" s="98">
        <f>(E93-F93)*(B4-B3)</f>
        <v>-499.99999999999989</v>
      </c>
      <c r="G166" s="98"/>
      <c r="H166" s="98">
        <f>F166/2*-1</f>
        <v>249.99999999999994</v>
      </c>
      <c r="I166" s="98">
        <f>H166+F166</f>
        <v>-249.99999999999994</v>
      </c>
      <c r="J166" s="98">
        <f>I166*$J$155/$I$155</f>
        <v>-199.99999999999997</v>
      </c>
    </row>
    <row r="167" spans="1:10">
      <c r="A167" s="92"/>
      <c r="B167" s="113"/>
      <c r="C167" s="98"/>
      <c r="D167" s="92"/>
      <c r="E167" s="92" t="s">
        <v>39</v>
      </c>
      <c r="F167" s="98">
        <f>F166*0.25*-1</f>
        <v>124.99999999999997</v>
      </c>
      <c r="G167" s="98"/>
      <c r="H167" s="98">
        <f>H166*0.25*-1</f>
        <v>-62.499999999999986</v>
      </c>
      <c r="I167" s="98">
        <f>I166*0.25*-1</f>
        <v>62.499999999999986</v>
      </c>
      <c r="J167" s="98">
        <f>I167*$J$155/$I$155</f>
        <v>49.999999999999993</v>
      </c>
    </row>
    <row r="168" spans="1:10">
      <c r="A168" s="92"/>
      <c r="B168" s="92"/>
      <c r="C168" s="89"/>
      <c r="D168" s="69"/>
      <c r="E168" s="96" t="s">
        <v>232</v>
      </c>
      <c r="F168" s="120">
        <f>F169-F166-F167</f>
        <v>-2281.25</v>
      </c>
      <c r="G168" s="120">
        <f>F168*-1</f>
        <v>2281.25</v>
      </c>
      <c r="H168" s="120"/>
      <c r="I168" s="120">
        <f>F168+G168</f>
        <v>0</v>
      </c>
      <c r="J168" s="120">
        <f>I168*$J$155/$I$155</f>
        <v>0</v>
      </c>
    </row>
    <row r="169" spans="1:10" ht="15">
      <c r="A169" s="92"/>
      <c r="B169" s="92"/>
      <c r="C169" s="127"/>
      <c r="D169" s="128"/>
      <c r="E169" s="109" t="s">
        <v>13</v>
      </c>
      <c r="F169" s="79">
        <f>G71</f>
        <v>-2656.25</v>
      </c>
      <c r="G169" s="79">
        <f>G168</f>
        <v>2281.25</v>
      </c>
      <c r="H169" s="79">
        <f>H166+H167</f>
        <v>187.49999999999994</v>
      </c>
      <c r="I169" s="79">
        <f>I166+I167+I168</f>
        <v>-187.49999999999994</v>
      </c>
      <c r="J169" s="79">
        <f>I169*$J$155/$I$155</f>
        <v>-149.99999999999997</v>
      </c>
    </row>
    <row r="170" spans="1:10">
      <c r="A170" s="92"/>
      <c r="B170" s="92"/>
      <c r="C170" s="98"/>
      <c r="D170" s="92"/>
      <c r="E170" s="92"/>
      <c r="F170" s="92"/>
      <c r="G170" s="92"/>
      <c r="H170" s="92"/>
      <c r="I170" s="92"/>
      <c r="J170" s="92"/>
    </row>
    <row r="171" spans="1:10" ht="15">
      <c r="A171" s="100">
        <v>6</v>
      </c>
      <c r="B171" s="111" t="s">
        <v>284</v>
      </c>
      <c r="D171" s="92"/>
      <c r="E171" s="92"/>
      <c r="F171" s="92"/>
      <c r="G171" s="92"/>
      <c r="H171" s="92"/>
      <c r="I171" s="92"/>
      <c r="J171" s="92"/>
    </row>
    <row r="172" spans="1:10">
      <c r="A172" s="92"/>
      <c r="B172" s="92" t="s">
        <v>285</v>
      </c>
      <c r="C172" s="98">
        <f>B42</f>
        <v>345524.16666666669</v>
      </c>
      <c r="D172" s="92"/>
      <c r="E172" s="92"/>
      <c r="F172" s="92"/>
      <c r="G172" s="92"/>
      <c r="H172" s="92"/>
      <c r="I172" s="92"/>
      <c r="J172" s="92"/>
    </row>
    <row r="173" spans="1:10">
      <c r="A173" s="92"/>
      <c r="B173" s="92" t="s">
        <v>223</v>
      </c>
      <c r="C173" s="120">
        <f>C5*G5</f>
        <v>160000</v>
      </c>
      <c r="D173" s="92"/>
      <c r="E173" s="92"/>
      <c r="F173" s="92"/>
      <c r="G173" s="92"/>
      <c r="H173" s="92"/>
      <c r="I173" s="92"/>
      <c r="J173" s="92"/>
    </row>
    <row r="174" spans="1:10" ht="15">
      <c r="A174" s="92"/>
      <c r="B174" s="80" t="s">
        <v>189</v>
      </c>
      <c r="C174" s="79">
        <f>C173-C172</f>
        <v>-185524.16666666669</v>
      </c>
      <c r="D174" s="92"/>
      <c r="E174" s="92"/>
      <c r="F174" s="92"/>
      <c r="G174" s="92"/>
      <c r="H174" s="92"/>
      <c r="I174" s="92"/>
      <c r="J174" s="92"/>
    </row>
    <row r="175" spans="1:10">
      <c r="A175" s="92"/>
      <c r="B175" s="92"/>
      <c r="C175" s="98"/>
      <c r="D175" s="92"/>
      <c r="E175" s="92"/>
      <c r="F175" s="92"/>
      <c r="G175" s="92"/>
      <c r="H175" s="92"/>
      <c r="I175" s="92"/>
      <c r="J175" s="92"/>
    </row>
    <row r="176" spans="1:10">
      <c r="A176" s="92"/>
      <c r="B176" s="92"/>
      <c r="C176" s="92"/>
      <c r="D176" s="92"/>
      <c r="E176" s="92"/>
      <c r="F176" s="92"/>
      <c r="G176" s="92"/>
      <c r="H176" s="92"/>
      <c r="I176" s="92"/>
      <c r="J176" s="92"/>
    </row>
    <row r="177" spans="1:10">
      <c r="A177" s="92"/>
      <c r="B177" s="92"/>
      <c r="C177" s="92"/>
      <c r="D177" s="92"/>
      <c r="E177" s="92"/>
      <c r="F177" s="92"/>
      <c r="G177" s="92"/>
      <c r="H177" s="92"/>
      <c r="I177" s="92"/>
      <c r="J177" s="92"/>
    </row>
    <row r="178" spans="1:10">
      <c r="A178" s="92"/>
      <c r="B178" s="92"/>
      <c r="C178" s="92"/>
      <c r="D178" s="92"/>
      <c r="E178" s="92"/>
      <c r="F178" s="92"/>
      <c r="G178" s="92"/>
      <c r="H178" s="92"/>
      <c r="I178" s="92"/>
      <c r="J178" s="92"/>
    </row>
    <row r="179" spans="1:10">
      <c r="A179" s="92"/>
      <c r="B179" s="92"/>
      <c r="C179" s="92"/>
      <c r="D179" s="92"/>
      <c r="E179" s="92"/>
      <c r="F179" s="92"/>
      <c r="G179" s="92"/>
      <c r="H179" s="92"/>
      <c r="I179" s="92"/>
      <c r="J179" s="92"/>
    </row>
  </sheetData>
  <sheetProtection password="D3EB" sheet="1" objects="1" scenarios="1"/>
  <mergeCells count="6">
    <mergeCell ref="C36:C37"/>
    <mergeCell ref="D1:E1"/>
    <mergeCell ref="A7:B7"/>
    <mergeCell ref="C17:C18"/>
    <mergeCell ref="C20:C26"/>
    <mergeCell ref="C33:C3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1"/>
  <sheetViews>
    <sheetView rightToLeft="1" workbookViewId="0">
      <selection activeCell="L17" sqref="L17"/>
    </sheetView>
  </sheetViews>
  <sheetFormatPr defaultRowHeight="14.25"/>
  <cols>
    <col min="1" max="1" width="9.140625" style="86"/>
    <col min="2" max="2" width="11" style="86" customWidth="1"/>
    <col min="3" max="3" width="11.5703125" style="86" customWidth="1"/>
    <col min="4" max="4" width="9.140625" style="86"/>
    <col min="5" max="5" width="11.85546875" style="86" customWidth="1"/>
    <col min="6" max="6" width="10.7109375" style="86" customWidth="1"/>
    <col min="7" max="8" width="9.140625" style="86"/>
    <col min="9" max="9" width="9.7109375" style="86" customWidth="1"/>
    <col min="10" max="10" width="11.28515625" style="86" bestFit="1" customWidth="1"/>
    <col min="11" max="16384" width="9.140625" style="86"/>
  </cols>
  <sheetData>
    <row r="1" spans="2:6" ht="15">
      <c r="C1" s="85" t="s">
        <v>286</v>
      </c>
    </row>
    <row r="3" spans="2:6">
      <c r="B3" s="86" t="s">
        <v>287</v>
      </c>
    </row>
    <row r="4" spans="2:6">
      <c r="B4" s="86" t="s">
        <v>288</v>
      </c>
    </row>
    <row r="5" spans="2:6" ht="15">
      <c r="B5" s="85" t="s">
        <v>289</v>
      </c>
    </row>
    <row r="6" spans="2:6" ht="15">
      <c r="C6" s="79" t="s">
        <v>290</v>
      </c>
      <c r="D6" s="86" t="s">
        <v>291</v>
      </c>
      <c r="F6" s="86" t="s">
        <v>292</v>
      </c>
    </row>
    <row r="7" spans="2:6">
      <c r="D7" s="86" t="s">
        <v>293</v>
      </c>
    </row>
    <row r="8" spans="2:6">
      <c r="D8" s="86" t="s">
        <v>294</v>
      </c>
    </row>
    <row r="9" spans="2:6">
      <c r="D9" s="86" t="s">
        <v>295</v>
      </c>
      <c r="F9" s="86" t="s">
        <v>296</v>
      </c>
    </row>
    <row r="10" spans="2:6">
      <c r="D10" s="86" t="s">
        <v>297</v>
      </c>
    </row>
    <row r="11" spans="2:6" ht="15">
      <c r="C11" s="79" t="s">
        <v>298</v>
      </c>
      <c r="D11" s="129">
        <v>0.08</v>
      </c>
      <c r="F11" s="86" t="s">
        <v>299</v>
      </c>
    </row>
    <row r="12" spans="2:6" ht="15">
      <c r="C12" s="79" t="s">
        <v>300</v>
      </c>
      <c r="D12" s="129">
        <v>0.02</v>
      </c>
    </row>
    <row r="13" spans="2:6" ht="15">
      <c r="C13" s="79" t="s">
        <v>301</v>
      </c>
      <c r="D13" s="129">
        <v>0.02</v>
      </c>
    </row>
    <row r="14" spans="2:6" ht="15">
      <c r="C14" s="79"/>
      <c r="D14" s="129"/>
    </row>
    <row r="15" spans="2:6">
      <c r="D15" s="129"/>
    </row>
    <row r="16" spans="2:6" ht="15">
      <c r="B16" s="130" t="s">
        <v>302</v>
      </c>
    </row>
    <row r="17" spans="2:10">
      <c r="B17" s="86" t="s">
        <v>303</v>
      </c>
    </row>
    <row r="18" spans="2:10">
      <c r="B18" s="86" t="s">
        <v>304</v>
      </c>
      <c r="G18" s="86" t="s">
        <v>305</v>
      </c>
      <c r="H18" s="86">
        <v>35625</v>
      </c>
    </row>
    <row r="19" spans="2:10">
      <c r="G19" s="86" t="s">
        <v>39</v>
      </c>
      <c r="H19" s="86">
        <v>9975</v>
      </c>
    </row>
    <row r="20" spans="2:10" ht="15">
      <c r="G20" s="79" t="s">
        <v>306</v>
      </c>
      <c r="H20" s="131">
        <f>H19/H18</f>
        <v>0.28000000000000003</v>
      </c>
      <c r="J20" s="86" t="s">
        <v>307</v>
      </c>
    </row>
    <row r="21" spans="2:10" ht="15">
      <c r="G21" s="79"/>
      <c r="H21" s="131"/>
    </row>
    <row r="22" spans="2:10" ht="15">
      <c r="B22" s="86" t="s">
        <v>308</v>
      </c>
      <c r="G22" s="79"/>
      <c r="H22" s="131"/>
      <c r="I22" s="131">
        <f>H20-3%</f>
        <v>0.25</v>
      </c>
      <c r="J22" s="86" t="s">
        <v>309</v>
      </c>
    </row>
    <row r="23" spans="2:10" ht="15">
      <c r="G23" s="79"/>
      <c r="H23" s="131"/>
    </row>
    <row r="24" spans="2:10" ht="15">
      <c r="B24" s="130" t="s">
        <v>310</v>
      </c>
    </row>
    <row r="25" spans="2:10">
      <c r="F25" s="104" t="s">
        <v>206</v>
      </c>
      <c r="G25" s="104" t="s">
        <v>311</v>
      </c>
      <c r="H25" s="104" t="s">
        <v>312</v>
      </c>
      <c r="I25" s="104" t="s">
        <v>313</v>
      </c>
      <c r="J25" s="104" t="s">
        <v>314</v>
      </c>
    </row>
    <row r="26" spans="2:10" ht="15">
      <c r="B26" s="86" t="s">
        <v>315</v>
      </c>
      <c r="E26" s="79">
        <v>1400000</v>
      </c>
      <c r="F26" s="86" t="s">
        <v>316</v>
      </c>
      <c r="G26" s="86" t="s">
        <v>317</v>
      </c>
      <c r="H26" s="86" t="s">
        <v>318</v>
      </c>
      <c r="I26" s="86" t="s">
        <v>319</v>
      </c>
      <c r="J26" s="86" t="s">
        <v>320</v>
      </c>
    </row>
    <row r="27" spans="2:10">
      <c r="B27" s="86" t="s">
        <v>321</v>
      </c>
    </row>
    <row r="29" spans="2:10">
      <c r="B29" s="73" t="s">
        <v>322</v>
      </c>
    </row>
    <row r="30" spans="2:10">
      <c r="E30" s="86" t="s">
        <v>323</v>
      </c>
    </row>
    <row r="31" spans="2:10" ht="15">
      <c r="D31" s="131">
        <f>294000/1400000</f>
        <v>0.21</v>
      </c>
      <c r="E31" s="131" t="s">
        <v>324</v>
      </c>
    </row>
    <row r="32" spans="2:10" ht="15">
      <c r="D32" s="131"/>
      <c r="E32" s="131"/>
    </row>
    <row r="33" spans="2:10" ht="15">
      <c r="B33" s="73" t="s">
        <v>325</v>
      </c>
      <c r="D33" s="131"/>
      <c r="E33" s="131"/>
    </row>
    <row r="34" spans="2:10" ht="15">
      <c r="D34" s="131"/>
      <c r="E34" s="132" t="s">
        <v>326</v>
      </c>
    </row>
    <row r="35" spans="2:10" ht="15">
      <c r="D35" s="131">
        <v>0.22</v>
      </c>
      <c r="E35" s="131" t="s">
        <v>327</v>
      </c>
    </row>
    <row r="36" spans="2:10" ht="15">
      <c r="B36" s="86" t="s">
        <v>328</v>
      </c>
      <c r="D36" s="131"/>
      <c r="E36" s="131"/>
    </row>
    <row r="37" spans="2:10" ht="15">
      <c r="B37" s="86" t="s">
        <v>329</v>
      </c>
      <c r="D37" s="131"/>
      <c r="E37" s="131"/>
      <c r="F37" s="86">
        <v>8100</v>
      </c>
      <c r="H37" s="86" t="s">
        <v>330</v>
      </c>
    </row>
    <row r="38" spans="2:10" ht="15">
      <c r="B38" s="86" t="s">
        <v>331</v>
      </c>
      <c r="D38" s="131"/>
      <c r="E38" s="131"/>
      <c r="F38" s="104">
        <v>500</v>
      </c>
      <c r="H38" s="86" t="s">
        <v>332</v>
      </c>
    </row>
    <row r="39" spans="2:10" ht="15">
      <c r="B39" s="79" t="s">
        <v>333</v>
      </c>
      <c r="C39" s="79"/>
      <c r="D39" s="131"/>
      <c r="E39" s="131"/>
      <c r="F39" s="79">
        <f>F37-F38</f>
        <v>7600</v>
      </c>
    </row>
    <row r="40" spans="2:10" ht="15">
      <c r="D40" s="131"/>
      <c r="E40" s="131"/>
    </row>
    <row r="41" spans="2:10" ht="15">
      <c r="B41" s="130" t="s">
        <v>334</v>
      </c>
      <c r="D41" s="131"/>
      <c r="E41" s="131"/>
    </row>
    <row r="43" spans="2:10">
      <c r="B43" s="86" t="s">
        <v>335</v>
      </c>
      <c r="D43" s="86" t="s">
        <v>336</v>
      </c>
      <c r="F43" s="86">
        <v>600000</v>
      </c>
    </row>
    <row r="44" spans="2:10">
      <c r="D44" s="86" t="s">
        <v>337</v>
      </c>
      <c r="F44" s="86" t="s">
        <v>338</v>
      </c>
    </row>
    <row r="45" spans="2:10">
      <c r="D45" s="86" t="s">
        <v>339</v>
      </c>
      <c r="F45" s="132">
        <v>0.125</v>
      </c>
      <c r="G45" s="133" t="s">
        <v>340</v>
      </c>
      <c r="H45" s="86" t="s">
        <v>341</v>
      </c>
      <c r="I45" s="86">
        <f>1/12.5%</f>
        <v>8</v>
      </c>
      <c r="J45" s="86" t="s">
        <v>342</v>
      </c>
    </row>
    <row r="46" spans="2:10">
      <c r="D46" s="86" t="s">
        <v>343</v>
      </c>
      <c r="F46" s="86">
        <f>600000*5.5/8</f>
        <v>412500</v>
      </c>
      <c r="I46" s="86" t="s">
        <v>344</v>
      </c>
    </row>
    <row r="47" spans="2:10">
      <c r="D47" s="86" t="s">
        <v>345</v>
      </c>
      <c r="F47" s="86">
        <f>600000*5/8</f>
        <v>375000</v>
      </c>
      <c r="I47" s="86" t="s">
        <v>346</v>
      </c>
    </row>
    <row r="49" spans="2:9">
      <c r="B49" s="86" t="s">
        <v>347</v>
      </c>
      <c r="F49" s="86">
        <f>(475000-375000)*15%</f>
        <v>15000</v>
      </c>
      <c r="I49" s="86" t="s">
        <v>348</v>
      </c>
    </row>
    <row r="50" spans="2:9">
      <c r="B50" s="86" t="s">
        <v>349</v>
      </c>
      <c r="F50" s="86">
        <v>35625</v>
      </c>
      <c r="I50" s="86" t="s">
        <v>332</v>
      </c>
    </row>
    <row r="52" spans="2:9" ht="15">
      <c r="B52" s="79" t="s">
        <v>350</v>
      </c>
    </row>
    <row r="53" spans="2:9">
      <c r="B53" s="86">
        <v>35625</v>
      </c>
      <c r="C53" s="86" t="s">
        <v>351</v>
      </c>
      <c r="F53" s="86" t="s">
        <v>352</v>
      </c>
    </row>
    <row r="54" spans="2:9" ht="15">
      <c r="E54" s="79">
        <v>88000</v>
      </c>
      <c r="F54" s="79" t="s">
        <v>324</v>
      </c>
    </row>
    <row r="55" spans="2:9">
      <c r="B55" s="86" t="s">
        <v>353</v>
      </c>
    </row>
    <row r="56" spans="2:9">
      <c r="D56" s="86">
        <v>88000</v>
      </c>
      <c r="F56" s="86" t="s">
        <v>354</v>
      </c>
    </row>
    <row r="57" spans="2:9" ht="15">
      <c r="B57" s="79" t="s">
        <v>355</v>
      </c>
      <c r="F57" s="79">
        <v>738426</v>
      </c>
    </row>
    <row r="59" spans="2:9" ht="15">
      <c r="B59" s="130" t="s">
        <v>356</v>
      </c>
    </row>
    <row r="61" spans="2:9">
      <c r="B61" s="86" t="s">
        <v>357</v>
      </c>
      <c r="F61" s="86">
        <v>41062</v>
      </c>
    </row>
    <row r="62" spans="2:9">
      <c r="B62" s="86" t="s">
        <v>358</v>
      </c>
    </row>
    <row r="63" spans="2:9">
      <c r="B63" s="86" t="s">
        <v>359</v>
      </c>
    </row>
    <row r="65" spans="2:9">
      <c r="B65" s="86" t="s">
        <v>360</v>
      </c>
      <c r="D65" s="86">
        <f>800000/20000</f>
        <v>40</v>
      </c>
      <c r="F65" s="86" t="s">
        <v>361</v>
      </c>
    </row>
    <row r="67" spans="2:9" ht="15">
      <c r="B67" s="85" t="s">
        <v>362</v>
      </c>
    </row>
    <row r="68" spans="2:9">
      <c r="B68" s="86" t="s">
        <v>240</v>
      </c>
      <c r="C68" s="86">
        <f>30000*27%*40</f>
        <v>324000.00000000006</v>
      </c>
      <c r="G68" s="86" t="s">
        <v>363</v>
      </c>
      <c r="I68" s="86" t="s">
        <v>364</v>
      </c>
    </row>
    <row r="69" spans="2:9">
      <c r="B69" s="86" t="s">
        <v>36</v>
      </c>
      <c r="C69" s="104">
        <f>27%*(450000+120000*3/12+800000)</f>
        <v>345600</v>
      </c>
      <c r="G69" s="86" t="s">
        <v>365</v>
      </c>
    </row>
    <row r="70" spans="2:9">
      <c r="B70" s="86" t="s">
        <v>366</v>
      </c>
      <c r="C70" s="86">
        <f>C68-C69</f>
        <v>-21599.999999999942</v>
      </c>
    </row>
    <row r="72" spans="2:9" ht="15">
      <c r="B72" s="85" t="s">
        <v>367</v>
      </c>
    </row>
    <row r="73" spans="2:9">
      <c r="B73" s="86" t="s">
        <v>305</v>
      </c>
      <c r="C73" s="86">
        <f>E54</f>
        <v>88000</v>
      </c>
      <c r="G73" s="86" t="s">
        <v>368</v>
      </c>
    </row>
    <row r="74" spans="2:9">
      <c r="B74" s="86" t="s">
        <v>39</v>
      </c>
      <c r="C74" s="86">
        <f>-C73*0.25</f>
        <v>-22000</v>
      </c>
      <c r="G74" s="86" t="s">
        <v>369</v>
      </c>
    </row>
    <row r="75" spans="2:9">
      <c r="B75" s="86" t="s">
        <v>370</v>
      </c>
      <c r="C75" s="86">
        <f>27%*(300000-(1200000-1200000*15%*5.25))</f>
        <v>12150</v>
      </c>
      <c r="G75" s="86" t="s">
        <v>371</v>
      </c>
    </row>
    <row r="76" spans="2:9" ht="15" thickBot="1">
      <c r="B76" s="86" t="s">
        <v>39</v>
      </c>
      <c r="C76" s="86">
        <f>-C75*25%</f>
        <v>-3037.5</v>
      </c>
      <c r="G76" s="86" t="s">
        <v>372</v>
      </c>
    </row>
    <row r="77" spans="2:9" ht="15" thickBot="1">
      <c r="B77" s="104" t="s">
        <v>373</v>
      </c>
      <c r="C77" s="134">
        <f>C78-SUM(C73:C76)</f>
        <v>-96712.499999999942</v>
      </c>
      <c r="D77" s="135" t="s">
        <v>201</v>
      </c>
    </row>
    <row r="78" spans="2:9">
      <c r="B78" s="86" t="s">
        <v>374</v>
      </c>
      <c r="C78" s="86">
        <f>C70</f>
        <v>-21599.999999999942</v>
      </c>
    </row>
    <row r="80" spans="2:9">
      <c r="B80" s="86" t="s">
        <v>375</v>
      </c>
    </row>
    <row r="81" spans="2:9">
      <c r="B81" s="86" t="s">
        <v>376</v>
      </c>
    </row>
    <row r="82" spans="2:9">
      <c r="B82" s="86" t="s">
        <v>377</v>
      </c>
      <c r="I82" s="86">
        <v>41062</v>
      </c>
    </row>
    <row r="83" spans="2:9">
      <c r="F83" s="86" t="s">
        <v>378</v>
      </c>
    </row>
    <row r="84" spans="2:9" ht="15">
      <c r="B84" s="86" t="s">
        <v>379</v>
      </c>
      <c r="E84" s="79">
        <v>82124</v>
      </c>
      <c r="F84" s="79" t="s">
        <v>324</v>
      </c>
    </row>
    <row r="86" spans="2:9" ht="15">
      <c r="B86" s="85" t="s">
        <v>380</v>
      </c>
    </row>
    <row r="87" spans="2:9">
      <c r="B87" s="86" t="s">
        <v>305</v>
      </c>
      <c r="C87" s="86">
        <f>F49</f>
        <v>15000</v>
      </c>
      <c r="G87" s="136" t="s">
        <v>381</v>
      </c>
    </row>
    <row r="88" spans="2:9">
      <c r="B88" s="86" t="s">
        <v>39</v>
      </c>
      <c r="C88" s="86">
        <f>-C87*25%</f>
        <v>-3750</v>
      </c>
      <c r="G88" s="86" t="s">
        <v>382</v>
      </c>
    </row>
    <row r="89" spans="2:9">
      <c r="B89" s="86" t="s">
        <v>370</v>
      </c>
      <c r="C89" s="86">
        <f>15%*(200000-(1200000-1200000*15%*5.75))</f>
        <v>5250</v>
      </c>
      <c r="G89" s="86" t="s">
        <v>383</v>
      </c>
    </row>
    <row r="90" spans="2:9">
      <c r="B90" s="86" t="s">
        <v>39</v>
      </c>
      <c r="C90" s="86">
        <f>-C89*25%</f>
        <v>-1312.5</v>
      </c>
      <c r="G90" s="86" t="s">
        <v>384</v>
      </c>
    </row>
    <row r="91" spans="2:9">
      <c r="B91" s="86" t="s">
        <v>56</v>
      </c>
      <c r="C91" s="86">
        <f>(20000-5000)*15%</f>
        <v>2250</v>
      </c>
      <c r="G91" s="86" t="s">
        <v>385</v>
      </c>
    </row>
    <row r="92" spans="2:9">
      <c r="B92" s="86" t="s">
        <v>39</v>
      </c>
      <c r="C92" s="86">
        <f>-C91*25%</f>
        <v>-562.5</v>
      </c>
      <c r="G92" s="86" t="s">
        <v>386</v>
      </c>
    </row>
    <row r="93" spans="2:9">
      <c r="B93" s="104" t="s">
        <v>232</v>
      </c>
      <c r="C93" s="104">
        <f>E84</f>
        <v>82124</v>
      </c>
      <c r="G93" s="136" t="s">
        <v>387</v>
      </c>
    </row>
    <row r="94" spans="2:9">
      <c r="B94" s="86" t="s">
        <v>388</v>
      </c>
      <c r="C94" s="86">
        <v>99000</v>
      </c>
    </row>
    <row r="96" spans="2:9" ht="15.75" thickBot="1">
      <c r="B96" s="85" t="s">
        <v>389</v>
      </c>
    </row>
    <row r="97" spans="2:9" ht="15.75" thickBot="1">
      <c r="B97" s="79" t="s">
        <v>240</v>
      </c>
      <c r="C97" s="137">
        <f>C98+C99</f>
        <v>300000</v>
      </c>
      <c r="D97" s="79" t="s">
        <v>201</v>
      </c>
    </row>
    <row r="98" spans="2:9">
      <c r="B98" s="104" t="s">
        <v>36</v>
      </c>
      <c r="C98" s="104">
        <f>15%*(450000+120000*9/12+800000)</f>
        <v>201000</v>
      </c>
      <c r="G98" s="86" t="s">
        <v>390</v>
      </c>
    </row>
    <row r="99" spans="2:9">
      <c r="B99" s="86" t="s">
        <v>388</v>
      </c>
      <c r="C99" s="86">
        <f>C94</f>
        <v>99000</v>
      </c>
    </row>
    <row r="101" spans="2:9">
      <c r="B101" s="86" t="s">
        <v>391</v>
      </c>
    </row>
    <row r="103" spans="2:9" ht="15">
      <c r="B103" s="130" t="s">
        <v>392</v>
      </c>
    </row>
    <row r="104" spans="2:9" ht="15">
      <c r="B104" s="73" t="s">
        <v>393</v>
      </c>
    </row>
    <row r="105" spans="2:9">
      <c r="B105" s="86" t="s">
        <v>394</v>
      </c>
      <c r="F105" s="86">
        <v>-432</v>
      </c>
    </row>
    <row r="106" spans="2:9">
      <c r="B106" s="86" t="s">
        <v>395</v>
      </c>
      <c r="F106" s="86">
        <f>100000/1.4*0.4*72%</f>
        <v>20571.428571428572</v>
      </c>
      <c r="H106" s="86" t="s">
        <v>396</v>
      </c>
    </row>
    <row r="107" spans="2:9">
      <c r="B107" s="86" t="s">
        <v>397</v>
      </c>
    </row>
    <row r="108" spans="2:9">
      <c r="D108" s="86">
        <v>432</v>
      </c>
      <c r="F108" s="86" t="s">
        <v>398</v>
      </c>
    </row>
    <row r="109" spans="2:9" ht="15">
      <c r="D109" s="79" t="s">
        <v>399</v>
      </c>
      <c r="F109" s="79" t="s">
        <v>400</v>
      </c>
    </row>
    <row r="110" spans="2:9" ht="15">
      <c r="B110" s="73" t="s">
        <v>401</v>
      </c>
      <c r="C110" s="73"/>
      <c r="D110" s="73"/>
      <c r="E110" s="73"/>
      <c r="F110" s="73"/>
      <c r="G110" s="73"/>
      <c r="H110" s="73"/>
      <c r="I110" s="79" t="s">
        <v>402</v>
      </c>
    </row>
    <row r="112" spans="2:9" ht="15">
      <c r="B112" s="130" t="s">
        <v>403</v>
      </c>
    </row>
    <row r="114" spans="2:10">
      <c r="B114" s="86" t="s">
        <v>404</v>
      </c>
      <c r="D114" s="86">
        <f>C68</f>
        <v>324000.00000000006</v>
      </c>
      <c r="E114" s="86" t="s">
        <v>387</v>
      </c>
    </row>
    <row r="115" spans="2:10">
      <c r="B115" s="86" t="s">
        <v>405</v>
      </c>
      <c r="D115" s="138">
        <f>120000*6/12*27%</f>
        <v>16200.000000000002</v>
      </c>
      <c r="E115" s="138" t="s">
        <v>406</v>
      </c>
    </row>
    <row r="116" spans="2:10">
      <c r="B116" s="86" t="s">
        <v>407</v>
      </c>
    </row>
    <row r="117" spans="2:10">
      <c r="C117" s="138" t="s">
        <v>408</v>
      </c>
      <c r="D117" s="86">
        <f>-88000*75%*0.5/5.5</f>
        <v>-6000</v>
      </c>
      <c r="E117" s="138" t="s">
        <v>409</v>
      </c>
    </row>
    <row r="118" spans="2:10">
      <c r="C118" s="138" t="s">
        <v>410</v>
      </c>
      <c r="D118" s="138">
        <f>-12150*75%*6/17</f>
        <v>-3216.1764705882351</v>
      </c>
      <c r="E118" s="138" t="s">
        <v>411</v>
      </c>
    </row>
    <row r="119" spans="2:10">
      <c r="C119" s="138" t="s">
        <v>373</v>
      </c>
      <c r="D119" s="86">
        <f>-C77</f>
        <v>96712.499999999942</v>
      </c>
      <c r="E119" s="138" t="s">
        <v>412</v>
      </c>
    </row>
    <row r="120" spans="2:10">
      <c r="B120" s="86" t="s">
        <v>413</v>
      </c>
      <c r="D120" s="138">
        <f>C97</f>
        <v>300000</v>
      </c>
      <c r="E120" s="86" t="s">
        <v>387</v>
      </c>
    </row>
    <row r="121" spans="2:10">
      <c r="B121" s="86" t="s">
        <v>414</v>
      </c>
      <c r="D121" s="86">
        <f>120000*3/12*42%</f>
        <v>12600</v>
      </c>
      <c r="E121" s="138" t="s">
        <v>415</v>
      </c>
    </row>
    <row r="122" spans="2:10">
      <c r="B122" s="86" t="s">
        <v>407</v>
      </c>
      <c r="D122" s="86">
        <f>D147</f>
        <v>-7931.9518716577541</v>
      </c>
      <c r="E122" s="86" t="s">
        <v>416</v>
      </c>
    </row>
    <row r="123" spans="2:10" ht="15" thickBot="1">
      <c r="B123" s="139" t="s">
        <v>417</v>
      </c>
      <c r="C123" s="139"/>
      <c r="D123" s="139">
        <f>-90000*42%</f>
        <v>-37800</v>
      </c>
      <c r="E123" s="140" t="s">
        <v>418</v>
      </c>
    </row>
    <row r="124" spans="2:10" ht="15">
      <c r="B124" s="79" t="s">
        <v>419</v>
      </c>
      <c r="C124" s="79"/>
      <c r="D124" s="79">
        <f>SUM(D114:D123)</f>
        <v>694564.37165775406</v>
      </c>
      <c r="E124" s="90" t="s">
        <v>420</v>
      </c>
    </row>
    <row r="125" spans="2:10">
      <c r="B125" s="86" t="s">
        <v>421</v>
      </c>
      <c r="D125" s="86">
        <f>120000*6/12*42%</f>
        <v>25200</v>
      </c>
      <c r="E125" s="138" t="s">
        <v>422</v>
      </c>
    </row>
    <row r="126" spans="2:10">
      <c r="B126" s="86" t="s">
        <v>423</v>
      </c>
      <c r="D126" s="86">
        <f>F147</f>
        <v>-14982.922459893052</v>
      </c>
      <c r="E126" s="138" t="s">
        <v>416</v>
      </c>
    </row>
    <row r="127" spans="2:10" ht="15" thickBot="1">
      <c r="B127" s="141" t="s">
        <v>424</v>
      </c>
      <c r="C127" s="141"/>
      <c r="D127" s="142">
        <f>-100000*0.4/1.4*72%*42%*50%</f>
        <v>-4320</v>
      </c>
      <c r="E127" s="138" t="s">
        <v>425</v>
      </c>
      <c r="J127" s="143"/>
    </row>
    <row r="128" spans="2:10" ht="15">
      <c r="B128" s="79" t="s">
        <v>426</v>
      </c>
      <c r="C128" s="79"/>
      <c r="D128" s="79">
        <f>SUM(D124:D127)</f>
        <v>700461.44919786102</v>
      </c>
      <c r="E128" s="138"/>
    </row>
    <row r="129" spans="2:11">
      <c r="B129" s="86" t="s">
        <v>427</v>
      </c>
      <c r="D129" s="86">
        <f>-D128/2</f>
        <v>-350230.72459893051</v>
      </c>
      <c r="E129" s="138" t="s">
        <v>428</v>
      </c>
    </row>
    <row r="130" spans="2:11">
      <c r="B130" s="86" t="s">
        <v>429</v>
      </c>
      <c r="D130" s="138">
        <f>120000*6/12*21%</f>
        <v>12600</v>
      </c>
      <c r="E130" s="138" t="s">
        <v>430</v>
      </c>
    </row>
    <row r="131" spans="2:11">
      <c r="B131" s="86" t="s">
        <v>431</v>
      </c>
      <c r="D131" s="86">
        <f>I147</f>
        <v>-4278.2245989304811</v>
      </c>
      <c r="E131" s="138"/>
    </row>
    <row r="132" spans="2:11" ht="15" thickBot="1">
      <c r="B132" s="141" t="s">
        <v>432</v>
      </c>
      <c r="C132" s="141"/>
      <c r="D132" s="142">
        <f>4320*0.5*0.4/0.5</f>
        <v>1728</v>
      </c>
      <c r="E132" s="138" t="s">
        <v>433</v>
      </c>
    </row>
    <row r="133" spans="2:11" ht="15">
      <c r="B133" s="79" t="s">
        <v>434</v>
      </c>
      <c r="C133" s="79"/>
      <c r="D133" s="79">
        <f>SUM(D128:D132)</f>
        <v>360280.5</v>
      </c>
      <c r="E133" s="138"/>
    </row>
    <row r="134" spans="2:11">
      <c r="E134" s="138"/>
    </row>
    <row r="135" spans="2:11">
      <c r="E135" s="138"/>
    </row>
    <row r="136" spans="2:11">
      <c r="E136" s="138"/>
    </row>
    <row r="137" spans="2:11" ht="15">
      <c r="B137" s="85" t="s">
        <v>435</v>
      </c>
      <c r="C137" s="85" t="s">
        <v>436</v>
      </c>
    </row>
    <row r="138" spans="2:11" ht="15">
      <c r="C138" s="144" t="s">
        <v>437</v>
      </c>
      <c r="D138" s="145"/>
      <c r="E138" s="145"/>
      <c r="F138" s="146" t="s">
        <v>438</v>
      </c>
      <c r="G138" s="147"/>
      <c r="H138" s="147"/>
      <c r="I138" s="147"/>
      <c r="J138" s="147"/>
    </row>
    <row r="139" spans="2:11" ht="15">
      <c r="C139" s="148" t="s">
        <v>439</v>
      </c>
      <c r="D139" s="148" t="s">
        <v>259</v>
      </c>
      <c r="E139" s="148" t="s">
        <v>440</v>
      </c>
      <c r="F139" s="148" t="s">
        <v>441</v>
      </c>
      <c r="G139" s="148" t="s">
        <v>442</v>
      </c>
      <c r="H139" s="149" t="s">
        <v>443</v>
      </c>
      <c r="I139" s="148" t="s">
        <v>259</v>
      </c>
      <c r="J139" s="103" t="s">
        <v>444</v>
      </c>
    </row>
    <row r="140" spans="2:11">
      <c r="B140" s="86" t="s">
        <v>56</v>
      </c>
      <c r="C140" s="86">
        <f>C91</f>
        <v>2250</v>
      </c>
      <c r="D140" s="86">
        <f>E140-C140</f>
        <v>-2250</v>
      </c>
      <c r="E140" s="86">
        <v>0</v>
      </c>
      <c r="F140" s="86">
        <f>G140-E140</f>
        <v>0</v>
      </c>
      <c r="G140" s="86">
        <f>E140</f>
        <v>0</v>
      </c>
      <c r="H140" s="150">
        <f>G140*0.5</f>
        <v>0</v>
      </c>
      <c r="I140" s="86">
        <f>J140-H140</f>
        <v>0</v>
      </c>
      <c r="J140" s="86">
        <v>0</v>
      </c>
    </row>
    <row r="141" spans="2:11">
      <c r="B141" s="86" t="s">
        <v>39</v>
      </c>
      <c r="C141" s="86">
        <f>-C140*25%</f>
        <v>-562.5</v>
      </c>
      <c r="D141" s="86">
        <f t="shared" ref="D141:D146" si="0">E141-C141</f>
        <v>562.5</v>
      </c>
      <c r="E141" s="86">
        <v>0</v>
      </c>
      <c r="F141" s="86">
        <f t="shared" ref="F141:F146" si="1">G141-E141</f>
        <v>0</v>
      </c>
      <c r="G141" s="86">
        <f>E141</f>
        <v>0</v>
      </c>
      <c r="H141" s="150">
        <f t="shared" ref="H141:H146" si="2">G141*0.5</f>
        <v>0</v>
      </c>
      <c r="I141" s="86">
        <f t="shared" ref="I141:I146" si="3">J141-H141</f>
        <v>0</v>
      </c>
      <c r="J141" s="86">
        <v>0</v>
      </c>
    </row>
    <row r="142" spans="2:11">
      <c r="B142" s="86" t="s">
        <v>305</v>
      </c>
      <c r="C142" s="86">
        <f>C73*5/5.5+C87</f>
        <v>95000</v>
      </c>
      <c r="D142" s="86">
        <f t="shared" si="0"/>
        <v>-4750</v>
      </c>
      <c r="E142" s="86">
        <f>C142*4.75/5</f>
        <v>90250</v>
      </c>
      <c r="F142" s="86">
        <f t="shared" si="1"/>
        <v>-9500</v>
      </c>
      <c r="G142" s="86">
        <f>C142*4.25/5</f>
        <v>80750</v>
      </c>
      <c r="H142" s="150">
        <f t="shared" si="2"/>
        <v>40375</v>
      </c>
      <c r="I142" s="86">
        <f t="shared" si="3"/>
        <v>-4750</v>
      </c>
      <c r="J142" s="86">
        <f>H142*3.75/4.25</f>
        <v>35625</v>
      </c>
    </row>
    <row r="143" spans="2:11">
      <c r="B143" s="86" t="s">
        <v>39</v>
      </c>
      <c r="C143" s="86">
        <f>-C142*25%</f>
        <v>-23750</v>
      </c>
      <c r="D143" s="86">
        <f t="shared" si="0"/>
        <v>1187.5</v>
      </c>
      <c r="E143" s="86">
        <f>-E142*25%</f>
        <v>-22562.5</v>
      </c>
      <c r="F143" s="86">
        <f t="shared" si="1"/>
        <v>-47.500000000003638</v>
      </c>
      <c r="G143" s="86">
        <f>-G142*28%</f>
        <v>-22610.000000000004</v>
      </c>
      <c r="H143" s="150">
        <f t="shared" si="2"/>
        <v>-11305.000000000002</v>
      </c>
      <c r="I143" s="86">
        <f t="shared" si="3"/>
        <v>1330</v>
      </c>
      <c r="J143" s="86">
        <f>-J142*28%</f>
        <v>-9975.0000000000018</v>
      </c>
    </row>
    <row r="144" spans="2:11">
      <c r="B144" s="86" t="s">
        <v>370</v>
      </c>
      <c r="C144" s="86">
        <f>12150*11/17+5250</f>
        <v>13111.764705882353</v>
      </c>
      <c r="D144" s="86">
        <f t="shared" si="0"/>
        <v>-3575.9358288770054</v>
      </c>
      <c r="E144" s="86">
        <f>C144*8/11</f>
        <v>9535.8288770053477</v>
      </c>
      <c r="F144" s="86">
        <f t="shared" si="1"/>
        <v>-7151.8716577540108</v>
      </c>
      <c r="G144" s="86">
        <f>C144*2/11</f>
        <v>2383.9572192513369</v>
      </c>
      <c r="H144" s="150">
        <f t="shared" si="2"/>
        <v>1191.9786096256685</v>
      </c>
      <c r="I144" s="86">
        <f t="shared" si="3"/>
        <v>-1191.9786096256685</v>
      </c>
      <c r="J144" s="86">
        <v>0</v>
      </c>
      <c r="K144" s="138" t="s">
        <v>445</v>
      </c>
    </row>
    <row r="145" spans="1:10">
      <c r="B145" s="86" t="s">
        <v>39</v>
      </c>
      <c r="C145" s="86">
        <f>-C144*25%</f>
        <v>-3277.9411764705883</v>
      </c>
      <c r="D145" s="86">
        <f t="shared" si="0"/>
        <v>893.98395721925135</v>
      </c>
      <c r="E145" s="86">
        <f>-E144*25%</f>
        <v>-2383.9572192513369</v>
      </c>
      <c r="F145" s="86">
        <f t="shared" si="1"/>
        <v>1716.4491978609626</v>
      </c>
      <c r="G145" s="86">
        <f>-G144*28%</f>
        <v>-667.50802139037444</v>
      </c>
      <c r="H145" s="150">
        <f t="shared" si="2"/>
        <v>-333.75401069518722</v>
      </c>
      <c r="I145" s="86">
        <f t="shared" si="3"/>
        <v>333.75401069518722</v>
      </c>
      <c r="J145" s="86">
        <f>-J144*25%</f>
        <v>0</v>
      </c>
    </row>
    <row r="146" spans="1:10">
      <c r="B146" s="104" t="s">
        <v>232</v>
      </c>
      <c r="C146" s="104">
        <f>C93</f>
        <v>82124</v>
      </c>
      <c r="D146" s="104">
        <f t="shared" si="0"/>
        <v>0</v>
      </c>
      <c r="E146" s="104">
        <f>C146</f>
        <v>82124</v>
      </c>
      <c r="F146" s="104">
        <f t="shared" si="1"/>
        <v>0</v>
      </c>
      <c r="G146" s="104">
        <f>C146</f>
        <v>82124</v>
      </c>
      <c r="H146" s="151">
        <f t="shared" si="2"/>
        <v>41062</v>
      </c>
      <c r="I146" s="104">
        <f t="shared" si="3"/>
        <v>0</v>
      </c>
      <c r="J146" s="104">
        <f>H146</f>
        <v>41062</v>
      </c>
    </row>
    <row r="147" spans="1:10">
      <c r="B147" s="86" t="s">
        <v>446</v>
      </c>
      <c r="C147" s="86">
        <f>SUM(C140:C146)</f>
        <v>164895.32352941175</v>
      </c>
      <c r="D147" s="86">
        <f t="shared" ref="D147:J147" si="4">SUM(D140:D146)</f>
        <v>-7931.9518716577541</v>
      </c>
      <c r="E147" s="86">
        <f t="shared" si="4"/>
        <v>156963.371657754</v>
      </c>
      <c r="F147" s="86">
        <f t="shared" si="4"/>
        <v>-14982.922459893052</v>
      </c>
      <c r="G147" s="86">
        <f t="shared" si="4"/>
        <v>141980.44919786096</v>
      </c>
      <c r="H147" s="150">
        <f t="shared" si="4"/>
        <v>70990.224598930479</v>
      </c>
      <c r="I147" s="86">
        <f t="shared" si="4"/>
        <v>-4278.2245989304811</v>
      </c>
      <c r="J147" s="86">
        <f t="shared" si="4"/>
        <v>66712</v>
      </c>
    </row>
    <row r="149" spans="1:10" ht="15">
      <c r="B149" s="130" t="s">
        <v>447</v>
      </c>
    </row>
    <row r="151" spans="1:10" ht="15">
      <c r="A151" s="152">
        <v>1</v>
      </c>
      <c r="B151" s="138" t="s">
        <v>448</v>
      </c>
      <c r="D151" s="138">
        <f>(450000+800000+120000-90000)*42%</f>
        <v>537600</v>
      </c>
      <c r="E151" s="138" t="s">
        <v>449</v>
      </c>
    </row>
    <row r="152" spans="1:10" ht="15">
      <c r="A152" s="152">
        <v>2</v>
      </c>
      <c r="B152" s="86" t="s">
        <v>450</v>
      </c>
      <c r="C152" s="86" t="s">
        <v>305</v>
      </c>
      <c r="D152" s="86">
        <f>E142</f>
        <v>90250</v>
      </c>
    </row>
    <row r="153" spans="1:10" ht="15">
      <c r="A153" s="152"/>
      <c r="C153" s="86" t="s">
        <v>39</v>
      </c>
      <c r="D153" s="86">
        <f t="shared" ref="D153:D156" si="5">E143</f>
        <v>-22562.5</v>
      </c>
    </row>
    <row r="154" spans="1:10" ht="15">
      <c r="A154" s="152"/>
      <c r="C154" s="86" t="s">
        <v>370</v>
      </c>
      <c r="D154" s="86">
        <f t="shared" si="5"/>
        <v>9535.8288770053477</v>
      </c>
    </row>
    <row r="155" spans="1:10" ht="15">
      <c r="A155" s="152"/>
      <c r="C155" s="86" t="s">
        <v>39</v>
      </c>
      <c r="D155" s="86">
        <f t="shared" si="5"/>
        <v>-2383.9572192513369</v>
      </c>
    </row>
    <row r="156" spans="1:10" ht="15">
      <c r="A156" s="152"/>
      <c r="C156" s="86" t="s">
        <v>232</v>
      </c>
      <c r="D156" s="86">
        <f t="shared" si="5"/>
        <v>82124</v>
      </c>
    </row>
    <row r="157" spans="1:10" ht="15">
      <c r="A157" s="152"/>
      <c r="B157" s="79" t="s">
        <v>446</v>
      </c>
      <c r="C157" s="79"/>
      <c r="D157" s="79">
        <f>SUM(D151:D156)</f>
        <v>694563.37165775406</v>
      </c>
    </row>
    <row r="159" spans="1:10" ht="15">
      <c r="B159" s="130" t="s">
        <v>451</v>
      </c>
    </row>
    <row r="161" spans="2:7" ht="15">
      <c r="B161" s="90" t="s">
        <v>452</v>
      </c>
      <c r="C161" s="86" t="s">
        <v>453</v>
      </c>
      <c r="E161" s="86">
        <f>C68</f>
        <v>324000.00000000006</v>
      </c>
    </row>
    <row r="162" spans="2:7">
      <c r="C162" s="86" t="s">
        <v>454</v>
      </c>
      <c r="E162" s="86">
        <f>500*40</f>
        <v>20000</v>
      </c>
      <c r="F162" s="138" t="s">
        <v>455</v>
      </c>
      <c r="G162" s="86" t="s">
        <v>456</v>
      </c>
    </row>
    <row r="163" spans="2:7">
      <c r="C163" s="86" t="s">
        <v>457</v>
      </c>
      <c r="E163" s="86">
        <f>7600*40</f>
        <v>304000</v>
      </c>
      <c r="F163" s="138" t="s">
        <v>458</v>
      </c>
    </row>
    <row r="164" spans="2:7">
      <c r="B164" s="86" t="s">
        <v>459</v>
      </c>
    </row>
    <row r="165" spans="2:7">
      <c r="C165" s="86" t="s">
        <v>460</v>
      </c>
      <c r="E165" s="138">
        <f>(20000-12000)*75%</f>
        <v>6000</v>
      </c>
      <c r="F165" s="138" t="s">
        <v>461</v>
      </c>
    </row>
    <row r="166" spans="2:7">
      <c r="C166" s="86" t="s">
        <v>462</v>
      </c>
      <c r="E166" s="138">
        <f>20000-12000</f>
        <v>8000</v>
      </c>
    </row>
    <row r="167" spans="2:7">
      <c r="C167" s="86" t="s">
        <v>463</v>
      </c>
      <c r="E167" s="138">
        <v>2000</v>
      </c>
    </row>
    <row r="169" spans="2:7" ht="15">
      <c r="B169" s="90" t="s">
        <v>464</v>
      </c>
      <c r="C169" s="86" t="s">
        <v>465</v>
      </c>
      <c r="E169" s="86">
        <f>-D129</f>
        <v>350230.72459893051</v>
      </c>
    </row>
    <row r="170" spans="2:7" ht="15" thickBot="1">
      <c r="C170" s="86" t="s">
        <v>466</v>
      </c>
      <c r="E170" s="86">
        <v>900000</v>
      </c>
    </row>
    <row r="171" spans="2:7" ht="15.75" thickBot="1">
      <c r="C171" s="86" t="s">
        <v>467</v>
      </c>
      <c r="E171" s="153">
        <f>E170-E169</f>
        <v>549769.27540106955</v>
      </c>
      <c r="F171" s="79" t="s">
        <v>201</v>
      </c>
    </row>
  </sheetData>
  <sheetProtection password="D3EB" sheet="1" objects="1" scenarios="1"/>
  <pageMargins left="0.70866141732283472" right="0.70866141732283472" top="0.74803149606299213" bottom="0.74803149606299213" header="0.31496062992125984" footer="0.31496062992125984"/>
  <pageSetup paperSize="9" scale="32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F154"/>
  <sheetViews>
    <sheetView rightToLeft="1" topLeftCell="A132" workbookViewId="0">
      <selection activeCell="E154" sqref="E154"/>
    </sheetView>
  </sheetViews>
  <sheetFormatPr defaultRowHeight="14.25"/>
  <cols>
    <col min="1" max="1" width="30.28515625" style="68" customWidth="1"/>
    <col min="2" max="3" width="9.140625" style="68"/>
    <col min="4" max="4" width="11.7109375" style="68" customWidth="1"/>
    <col min="5" max="16384" width="9.140625" style="68"/>
  </cols>
  <sheetData>
    <row r="2" spans="1:3" ht="15">
      <c r="A2" s="67" t="s">
        <v>468</v>
      </c>
    </row>
    <row r="3" spans="1:3">
      <c r="C3" s="154" t="s">
        <v>469</v>
      </c>
    </row>
    <row r="4" spans="1:3">
      <c r="A4" s="155" t="s">
        <v>470</v>
      </c>
      <c r="B4" s="156">
        <v>35000</v>
      </c>
      <c r="C4" s="68">
        <v>1</v>
      </c>
    </row>
    <row r="5" spans="1:3">
      <c r="A5" s="155" t="s">
        <v>471</v>
      </c>
      <c r="B5" s="156">
        <f>0.25*(130000-100000+18000)</f>
        <v>12000</v>
      </c>
    </row>
    <row r="6" spans="1:3">
      <c r="A6" s="155" t="s">
        <v>206</v>
      </c>
      <c r="B6" s="156">
        <f>-0.25*18000</f>
        <v>-4500</v>
      </c>
    </row>
    <row r="7" spans="1:3" ht="16.5">
      <c r="A7" s="155" t="s">
        <v>260</v>
      </c>
      <c r="B7" s="157">
        <f>0.25*B53</f>
        <v>1875</v>
      </c>
      <c r="C7" s="68">
        <v>2</v>
      </c>
    </row>
    <row r="8" spans="1:3">
      <c r="A8" s="155" t="s">
        <v>184</v>
      </c>
      <c r="B8" s="156">
        <f>SUM(B4:B7)</f>
        <v>44375</v>
      </c>
    </row>
    <row r="9" spans="1:3">
      <c r="A9" s="155" t="s">
        <v>472</v>
      </c>
      <c r="B9" s="156">
        <f>0.25*B68</f>
        <v>9375.0000000000018</v>
      </c>
      <c r="C9" s="68">
        <v>3</v>
      </c>
    </row>
    <row r="10" spans="1:3">
      <c r="A10" s="155" t="s">
        <v>260</v>
      </c>
      <c r="B10" s="156">
        <f>0.25*B61</f>
        <v>-1875</v>
      </c>
      <c r="C10" s="68">
        <v>3</v>
      </c>
    </row>
    <row r="11" spans="1:3" ht="16.5">
      <c r="A11" s="155" t="s">
        <v>192</v>
      </c>
      <c r="B11" s="157">
        <f>B75</f>
        <v>5500</v>
      </c>
      <c r="C11" s="68">
        <v>4</v>
      </c>
    </row>
    <row r="12" spans="1:3">
      <c r="A12" s="155" t="s">
        <v>473</v>
      </c>
      <c r="B12" s="156">
        <f>SUM(B8:B11)</f>
        <v>57375</v>
      </c>
    </row>
    <row r="13" spans="1:3">
      <c r="B13" s="156"/>
    </row>
    <row r="14" spans="1:3" ht="15">
      <c r="A14" s="67" t="s">
        <v>474</v>
      </c>
      <c r="B14" s="156"/>
    </row>
    <row r="15" spans="1:3">
      <c r="B15" s="156"/>
    </row>
    <row r="16" spans="1:3">
      <c r="A16" s="155" t="s">
        <v>475</v>
      </c>
      <c r="B16" s="156">
        <v>55000</v>
      </c>
      <c r="C16" s="68">
        <v>5</v>
      </c>
    </row>
    <row r="17" spans="1:3">
      <c r="A17" s="155" t="s">
        <v>476</v>
      </c>
      <c r="B17" s="156">
        <f>0.3*(130000-120000+18000)</f>
        <v>8400</v>
      </c>
    </row>
    <row r="18" spans="1:3">
      <c r="A18" s="155" t="s">
        <v>206</v>
      </c>
      <c r="B18" s="156">
        <f>-0.3*18000</f>
        <v>-5400</v>
      </c>
    </row>
    <row r="19" spans="1:3">
      <c r="A19" s="155" t="s">
        <v>260</v>
      </c>
      <c r="B19" s="156">
        <f>0.3*B53</f>
        <v>2250</v>
      </c>
    </row>
    <row r="20" spans="1:3" ht="16.5">
      <c r="A20" s="155" t="s">
        <v>477</v>
      </c>
      <c r="B20" s="157">
        <f>-0.3*50000*0.15</f>
        <v>-2250</v>
      </c>
    </row>
    <row r="21" spans="1:3">
      <c r="A21" s="155" t="s">
        <v>184</v>
      </c>
      <c r="B21" s="156">
        <f>SUM(B16:B20)</f>
        <v>58000</v>
      </c>
    </row>
    <row r="22" spans="1:3">
      <c r="A22" s="155" t="s">
        <v>472</v>
      </c>
      <c r="B22" s="156">
        <f>0.3*B101</f>
        <v>10939.655172413795</v>
      </c>
      <c r="C22" s="68">
        <v>6</v>
      </c>
    </row>
    <row r="23" spans="1:3">
      <c r="A23" s="155" t="s">
        <v>260</v>
      </c>
      <c r="B23" s="156">
        <f>0.3*B94</f>
        <v>-1939.655172413793</v>
      </c>
      <c r="C23" s="68">
        <v>6</v>
      </c>
    </row>
    <row r="24" spans="1:3">
      <c r="A24" s="155" t="s">
        <v>192</v>
      </c>
      <c r="B24" s="156">
        <f>B108</f>
        <v>6000</v>
      </c>
      <c r="C24" s="68">
        <v>7</v>
      </c>
    </row>
    <row r="25" spans="1:3" ht="16.5">
      <c r="A25" s="155" t="s">
        <v>478</v>
      </c>
      <c r="B25" s="157">
        <f>B113</f>
        <v>-2250</v>
      </c>
      <c r="C25" s="68">
        <v>8</v>
      </c>
    </row>
    <row r="26" spans="1:3">
      <c r="A26" s="155" t="s">
        <v>473</v>
      </c>
      <c r="B26" s="156">
        <f>SUM(B21:B25)</f>
        <v>70750</v>
      </c>
    </row>
    <row r="27" spans="1:3">
      <c r="B27" s="156"/>
    </row>
    <row r="28" spans="1:3" ht="15">
      <c r="A28" s="162" t="s">
        <v>479</v>
      </c>
      <c r="B28" s="156"/>
    </row>
    <row r="29" spans="1:3">
      <c r="A29" s="155"/>
      <c r="B29" s="156"/>
    </row>
    <row r="30" spans="1:3">
      <c r="A30" s="155" t="s">
        <v>480</v>
      </c>
      <c r="B30" s="156">
        <v>65000</v>
      </c>
      <c r="C30" s="68">
        <v>9</v>
      </c>
    </row>
    <row r="31" spans="1:3">
      <c r="A31" s="155" t="s">
        <v>472</v>
      </c>
      <c r="B31" s="156">
        <f>0.4*C140</f>
        <v>37200</v>
      </c>
      <c r="C31" s="68">
        <v>10</v>
      </c>
    </row>
    <row r="32" spans="1:3">
      <c r="A32" s="155" t="s">
        <v>478</v>
      </c>
      <c r="B32" s="156">
        <f>-0.1*100000*0.15</f>
        <v>-1500</v>
      </c>
    </row>
    <row r="33" spans="1:3" ht="16.5">
      <c r="A33" s="155" t="s">
        <v>192</v>
      </c>
      <c r="B33" s="157">
        <f>B146</f>
        <v>-5400</v>
      </c>
      <c r="C33" s="68">
        <v>11</v>
      </c>
    </row>
    <row r="34" spans="1:3">
      <c r="A34" s="155" t="s">
        <v>473</v>
      </c>
      <c r="B34" s="156">
        <f>SUM(B30:B33)</f>
        <v>95300</v>
      </c>
    </row>
    <row r="35" spans="1:3">
      <c r="B35" s="156"/>
    </row>
    <row r="36" spans="1:3">
      <c r="A36" s="155" t="s">
        <v>481</v>
      </c>
      <c r="B36" s="156"/>
    </row>
    <row r="37" spans="1:3">
      <c r="B37" s="156"/>
    </row>
    <row r="38" spans="1:3">
      <c r="A38" s="158" t="s">
        <v>482</v>
      </c>
      <c r="B38" s="156"/>
    </row>
    <row r="39" spans="1:3">
      <c r="B39" s="156"/>
    </row>
    <row r="40" spans="1:3">
      <c r="A40" s="68" t="s">
        <v>240</v>
      </c>
      <c r="B40" s="156">
        <v>35000</v>
      </c>
    </row>
    <row r="41" spans="1:3" ht="16.5">
      <c r="A41" s="68" t="s">
        <v>483</v>
      </c>
      <c r="B41" s="157">
        <f>0.25*100000</f>
        <v>25000</v>
      </c>
    </row>
    <row r="42" spans="1:3">
      <c r="A42" s="68" t="s">
        <v>13</v>
      </c>
      <c r="B42" s="156">
        <f>B40-B41</f>
        <v>10000</v>
      </c>
    </row>
    <row r="43" spans="1:3">
      <c r="B43" s="156"/>
    </row>
    <row r="44" spans="1:3">
      <c r="A44" s="68" t="s">
        <v>484</v>
      </c>
      <c r="B44" s="156"/>
    </row>
    <row r="45" spans="1:3">
      <c r="A45" s="68" t="s">
        <v>485</v>
      </c>
      <c r="B45" s="156">
        <f>-0.25*24000</f>
        <v>-6000</v>
      </c>
    </row>
    <row r="46" spans="1:3" ht="16.5">
      <c r="A46" s="68" t="s">
        <v>232</v>
      </c>
      <c r="B46" s="157">
        <f>B47-B45</f>
        <v>16000</v>
      </c>
    </row>
    <row r="47" spans="1:3">
      <c r="A47" s="68" t="s">
        <v>13</v>
      </c>
      <c r="B47" s="156">
        <f>B42</f>
        <v>10000</v>
      </c>
    </row>
    <row r="48" spans="1:3">
      <c r="B48" s="156"/>
    </row>
    <row r="49" spans="1:2">
      <c r="A49" s="158" t="s">
        <v>486</v>
      </c>
      <c r="B49" s="156"/>
    </row>
    <row r="50" spans="1:2">
      <c r="B50" s="156"/>
    </row>
    <row r="51" spans="1:2">
      <c r="A51" s="68" t="s">
        <v>487</v>
      </c>
      <c r="B51" s="156">
        <v>80000</v>
      </c>
    </row>
    <row r="52" spans="1:2" ht="16.5">
      <c r="A52" s="68" t="s">
        <v>488</v>
      </c>
      <c r="B52" s="157">
        <f>80000*7.25/8</f>
        <v>72500</v>
      </c>
    </row>
    <row r="53" spans="1:2">
      <c r="A53" s="68" t="s">
        <v>489</v>
      </c>
      <c r="B53" s="156">
        <f>B51-B52</f>
        <v>7500</v>
      </c>
    </row>
    <row r="54" spans="1:2">
      <c r="B54" s="156"/>
    </row>
    <row r="55" spans="1:2">
      <c r="A55" s="158" t="s">
        <v>490</v>
      </c>
      <c r="B55" s="156"/>
    </row>
    <row r="56" spans="1:2">
      <c r="B56" s="156"/>
    </row>
    <row r="57" spans="1:2">
      <c r="A57" s="68" t="s">
        <v>487</v>
      </c>
      <c r="B57" s="156">
        <v>60000</v>
      </c>
    </row>
    <row r="58" spans="1:2" ht="16.5">
      <c r="A58" s="68" t="s">
        <v>488</v>
      </c>
      <c r="B58" s="157">
        <f>B51*6.25/7.25</f>
        <v>68965.517241379304</v>
      </c>
    </row>
    <row r="59" spans="1:2">
      <c r="A59" s="68" t="s">
        <v>284</v>
      </c>
      <c r="B59" s="156">
        <f>B57-B58</f>
        <v>-8965.5172413793043</v>
      </c>
    </row>
    <row r="60" spans="1:2">
      <c r="A60" s="68" t="s">
        <v>491</v>
      </c>
      <c r="B60" s="156"/>
    </row>
    <row r="61" spans="1:2">
      <c r="A61" s="68" t="s">
        <v>195</v>
      </c>
      <c r="B61" s="156">
        <f>-B53</f>
        <v>-7500</v>
      </c>
    </row>
    <row r="62" spans="1:2">
      <c r="A62" s="68" t="s">
        <v>236</v>
      </c>
      <c r="B62" s="156">
        <f>B59-B61</f>
        <v>-1465.5172413793043</v>
      </c>
    </row>
    <row r="63" spans="1:2">
      <c r="B63" s="156"/>
    </row>
    <row r="64" spans="1:2">
      <c r="A64" s="68" t="s">
        <v>492</v>
      </c>
      <c r="B64" s="156"/>
    </row>
    <row r="65" spans="1:2">
      <c r="A65" s="68" t="s">
        <v>493</v>
      </c>
      <c r="B65" s="156">
        <v>40000</v>
      </c>
    </row>
    <row r="66" spans="1:2">
      <c r="A66" s="68" t="s">
        <v>218</v>
      </c>
      <c r="B66" s="156">
        <f>-B51/7.25+80000/8</f>
        <v>-1034.4827586206902</v>
      </c>
    </row>
    <row r="67" spans="1:2" ht="16.5">
      <c r="A67" s="68" t="s">
        <v>494</v>
      </c>
      <c r="B67" s="157">
        <f>B62</f>
        <v>-1465.5172413793043</v>
      </c>
    </row>
    <row r="68" spans="1:2">
      <c r="A68" s="68" t="s">
        <v>13</v>
      </c>
      <c r="B68" s="156">
        <f>SUM(B65:B67)</f>
        <v>37500.000000000007</v>
      </c>
    </row>
    <row r="69" spans="1:2">
      <c r="B69" s="156"/>
    </row>
    <row r="70" spans="1:2">
      <c r="A70" s="158" t="s">
        <v>495</v>
      </c>
      <c r="B70" s="156"/>
    </row>
    <row r="71" spans="1:2">
      <c r="A71" s="68" t="s">
        <v>496</v>
      </c>
      <c r="B71" s="156">
        <f>MAX(24000,22000)</f>
        <v>24000</v>
      </c>
    </row>
    <row r="72" spans="1:2" ht="16.5">
      <c r="A72" s="68" t="s">
        <v>497</v>
      </c>
      <c r="B72" s="157">
        <v>22000</v>
      </c>
    </row>
    <row r="73" spans="1:2">
      <c r="A73" s="68" t="s">
        <v>23</v>
      </c>
      <c r="B73" s="156">
        <f>B71-B72</f>
        <v>2000</v>
      </c>
    </row>
    <row r="74" spans="1:2">
      <c r="A74" s="68" t="s">
        <v>498</v>
      </c>
      <c r="B74" s="156">
        <f>-B73*0.25</f>
        <v>-500</v>
      </c>
    </row>
    <row r="75" spans="1:2">
      <c r="A75" s="68" t="s">
        <v>499</v>
      </c>
      <c r="B75" s="156">
        <f>B74-B45</f>
        <v>5500</v>
      </c>
    </row>
    <row r="76" spans="1:2">
      <c r="B76" s="156"/>
    </row>
    <row r="77" spans="1:2">
      <c r="A77" s="158" t="s">
        <v>500</v>
      </c>
      <c r="B77" s="156"/>
    </row>
    <row r="78" spans="1:2">
      <c r="B78" s="156"/>
    </row>
    <row r="79" spans="1:2">
      <c r="A79" s="68" t="s">
        <v>240</v>
      </c>
      <c r="B79" s="156">
        <f>B16</f>
        <v>55000</v>
      </c>
    </row>
    <row r="80" spans="1:2" ht="16.5">
      <c r="A80" s="68" t="s">
        <v>483</v>
      </c>
      <c r="B80" s="157">
        <f>0.3*120000</f>
        <v>36000</v>
      </c>
    </row>
    <row r="81" spans="1:2">
      <c r="A81" s="68" t="s">
        <v>13</v>
      </c>
      <c r="B81" s="156">
        <f>B79-B80</f>
        <v>19000</v>
      </c>
    </row>
    <row r="82" spans="1:2">
      <c r="B82" s="156"/>
    </row>
    <row r="83" spans="1:2">
      <c r="A83" s="68" t="s">
        <v>484</v>
      </c>
      <c r="B83" s="156"/>
    </row>
    <row r="84" spans="1:2">
      <c r="A84" s="68" t="s">
        <v>485</v>
      </c>
      <c r="B84" s="156">
        <f>-0.3*25000</f>
        <v>-7500</v>
      </c>
    </row>
    <row r="85" spans="1:2" ht="16.5">
      <c r="A85" s="68" t="s">
        <v>232</v>
      </c>
      <c r="B85" s="157">
        <f>B86-B84</f>
        <v>26500</v>
      </c>
    </row>
    <row r="86" spans="1:2">
      <c r="A86" s="68" t="s">
        <v>13</v>
      </c>
      <c r="B86" s="156">
        <f>B81</f>
        <v>19000</v>
      </c>
    </row>
    <row r="87" spans="1:2">
      <c r="B87" s="156"/>
    </row>
    <row r="88" spans="1:2">
      <c r="A88" s="158" t="s">
        <v>501</v>
      </c>
      <c r="B88" s="156"/>
    </row>
    <row r="89" spans="1:2">
      <c r="B89" s="156"/>
    </row>
    <row r="90" spans="1:2">
      <c r="A90" s="68" t="s">
        <v>487</v>
      </c>
      <c r="B90" s="156">
        <v>60000</v>
      </c>
    </row>
    <row r="91" spans="1:2" ht="16.5">
      <c r="A91" s="68" t="s">
        <v>488</v>
      </c>
      <c r="B91" s="157">
        <f>B58</f>
        <v>68965.517241379304</v>
      </c>
    </row>
    <row r="92" spans="1:2">
      <c r="A92" s="68" t="s">
        <v>284</v>
      </c>
      <c r="B92" s="156">
        <f>B90-B91</f>
        <v>-8965.5172413793043</v>
      </c>
    </row>
    <row r="93" spans="1:2">
      <c r="A93" s="68" t="s">
        <v>491</v>
      </c>
      <c r="B93" s="156"/>
    </row>
    <row r="94" spans="1:2">
      <c r="A94" s="68" t="s">
        <v>195</v>
      </c>
      <c r="B94" s="156">
        <f>-B53*6.25/7.25</f>
        <v>-6465.5172413793107</v>
      </c>
    </row>
    <row r="95" spans="1:2">
      <c r="A95" s="68" t="s">
        <v>236</v>
      </c>
      <c r="B95" s="156">
        <f>B92-B94</f>
        <v>-2499.9999999999936</v>
      </c>
    </row>
    <row r="96" spans="1:2">
      <c r="B96" s="156"/>
    </row>
    <row r="97" spans="1:6">
      <c r="A97" s="68" t="s">
        <v>492</v>
      </c>
      <c r="B97" s="156"/>
    </row>
    <row r="98" spans="1:6">
      <c r="A98" s="68" t="s">
        <v>493</v>
      </c>
      <c r="B98" s="156">
        <v>40000</v>
      </c>
    </row>
    <row r="99" spans="1:6">
      <c r="A99" s="68" t="s">
        <v>218</v>
      </c>
      <c r="B99" s="156">
        <f>B66</f>
        <v>-1034.4827586206902</v>
      </c>
    </row>
    <row r="100" spans="1:6" ht="16.5">
      <c r="A100" s="68" t="s">
        <v>494</v>
      </c>
      <c r="B100" s="157">
        <f>B95</f>
        <v>-2499.9999999999936</v>
      </c>
    </row>
    <row r="101" spans="1:6">
      <c r="A101" s="68" t="s">
        <v>13</v>
      </c>
      <c r="B101" s="156">
        <f>SUM(B98:B100)</f>
        <v>36465.517241379319</v>
      </c>
    </row>
    <row r="102" spans="1:6">
      <c r="B102" s="156"/>
    </row>
    <row r="103" spans="1:6">
      <c r="A103" s="158" t="s">
        <v>502</v>
      </c>
      <c r="B103" s="156"/>
      <c r="E103" s="160" t="s">
        <v>521</v>
      </c>
      <c r="F103" s="161"/>
    </row>
    <row r="104" spans="1:6">
      <c r="A104" s="68" t="s">
        <v>496</v>
      </c>
      <c r="B104" s="156">
        <f>MAX(25000*30/40+33000*10/40,22000)</f>
        <v>27000</v>
      </c>
      <c r="E104" s="156">
        <v>25000</v>
      </c>
    </row>
    <row r="105" spans="1:6" ht="16.5">
      <c r="A105" s="68" t="s">
        <v>497</v>
      </c>
      <c r="B105" s="157">
        <v>22000</v>
      </c>
      <c r="E105" s="157">
        <v>22000</v>
      </c>
    </row>
    <row r="106" spans="1:6">
      <c r="A106" s="68" t="s">
        <v>23</v>
      </c>
      <c r="B106" s="156">
        <f>B104-B105</f>
        <v>5000</v>
      </c>
      <c r="E106" s="156">
        <f>E104-E105</f>
        <v>3000</v>
      </c>
    </row>
    <row r="107" spans="1:6">
      <c r="A107" s="68" t="s">
        <v>498</v>
      </c>
      <c r="B107" s="156">
        <f>-B106*0.3</f>
        <v>-1500</v>
      </c>
      <c r="E107" s="156">
        <f>-E106*0.3</f>
        <v>-900</v>
      </c>
    </row>
    <row r="108" spans="1:6">
      <c r="A108" s="68" t="s">
        <v>499</v>
      </c>
      <c r="B108" s="156">
        <f>B107-B84</f>
        <v>6000</v>
      </c>
      <c r="E108" s="156">
        <f>E107-B84</f>
        <v>6600</v>
      </c>
    </row>
    <row r="109" spans="1:6">
      <c r="B109" s="156"/>
    </row>
    <row r="110" spans="1:6">
      <c r="A110" s="158" t="s">
        <v>503</v>
      </c>
      <c r="B110" s="156"/>
    </row>
    <row r="111" spans="1:6">
      <c r="A111" s="68" t="s">
        <v>504</v>
      </c>
      <c r="B111" s="156">
        <v>2250</v>
      </c>
    </row>
    <row r="112" spans="1:6" ht="16.5">
      <c r="A112" s="68" t="s">
        <v>505</v>
      </c>
      <c r="B112" s="157">
        <f>-0.3*100000*0.15</f>
        <v>-4500</v>
      </c>
    </row>
    <row r="113" spans="1:4">
      <c r="A113" s="68" t="s">
        <v>13</v>
      </c>
      <c r="B113" s="156">
        <f>SUM(B111:B112)</f>
        <v>-2250</v>
      </c>
    </row>
    <row r="114" spans="1:4">
      <c r="B114" s="156"/>
    </row>
    <row r="115" spans="1:4">
      <c r="A115" s="158" t="s">
        <v>506</v>
      </c>
      <c r="B115" s="156"/>
    </row>
    <row r="116" spans="1:4">
      <c r="B116" s="156"/>
    </row>
    <row r="117" spans="1:4">
      <c r="A117" s="68" t="s">
        <v>507</v>
      </c>
      <c r="B117" s="156"/>
      <c r="D117" s="156">
        <f>110000+B8-B4</f>
        <v>119375</v>
      </c>
    </row>
    <row r="118" spans="1:4">
      <c r="B118" s="156"/>
    </row>
    <row r="119" spans="1:4">
      <c r="A119" s="159" t="s">
        <v>508</v>
      </c>
      <c r="B119" s="156"/>
    </row>
    <row r="120" spans="1:4">
      <c r="A120" s="68" t="s">
        <v>240</v>
      </c>
      <c r="B120" s="156">
        <f>B30</f>
        <v>65000</v>
      </c>
    </row>
    <row r="121" spans="1:4" ht="16.5">
      <c r="A121" s="68" t="s">
        <v>483</v>
      </c>
      <c r="B121" s="157">
        <f>0.4*D117</f>
        <v>47750</v>
      </c>
    </row>
    <row r="122" spans="1:4">
      <c r="A122" s="68" t="s">
        <v>13</v>
      </c>
      <c r="B122" s="156">
        <f>B120-B121</f>
        <v>17250</v>
      </c>
    </row>
    <row r="123" spans="1:4">
      <c r="B123" s="156"/>
    </row>
    <row r="124" spans="1:4">
      <c r="A124" s="68" t="s">
        <v>484</v>
      </c>
      <c r="B124" s="156"/>
    </row>
    <row r="125" spans="1:4">
      <c r="A125" s="68" t="s">
        <v>56</v>
      </c>
      <c r="B125" s="156">
        <f>0.4*15000</f>
        <v>6000</v>
      </c>
    </row>
    <row r="126" spans="1:4">
      <c r="A126" s="68" t="s">
        <v>509</v>
      </c>
      <c r="B126" s="156">
        <f>0.4*(50000-B8)</f>
        <v>2250</v>
      </c>
    </row>
    <row r="127" spans="1:4" ht="16.5">
      <c r="A127" s="68" t="s">
        <v>232</v>
      </c>
      <c r="B127" s="157">
        <f>B128-B125-B126</f>
        <v>9000</v>
      </c>
    </row>
    <row r="128" spans="1:4">
      <c r="A128" s="68" t="s">
        <v>13</v>
      </c>
      <c r="B128" s="156">
        <f>B122</f>
        <v>17250</v>
      </c>
    </row>
    <row r="129" spans="1:4">
      <c r="B129" s="156"/>
    </row>
    <row r="130" spans="1:4">
      <c r="A130" s="68" t="s">
        <v>510</v>
      </c>
      <c r="B130" s="156"/>
    </row>
    <row r="131" spans="1:4">
      <c r="A131" s="68" t="s">
        <v>485</v>
      </c>
      <c r="B131" s="156">
        <f>0.1*(24000-33000)</f>
        <v>-900</v>
      </c>
    </row>
    <row r="132" spans="1:4" ht="16.5">
      <c r="A132" s="68" t="s">
        <v>232</v>
      </c>
      <c r="B132" s="157">
        <f>B133-B131</f>
        <v>3150</v>
      </c>
    </row>
    <row r="133" spans="1:4">
      <c r="A133" s="68" t="s">
        <v>13</v>
      </c>
      <c r="B133" s="156">
        <f>B126</f>
        <v>2250</v>
      </c>
    </row>
    <row r="134" spans="1:4">
      <c r="B134" s="156"/>
    </row>
    <row r="135" spans="1:4">
      <c r="A135" s="158" t="s">
        <v>511</v>
      </c>
      <c r="B135" s="156"/>
    </row>
    <row r="136" spans="1:4">
      <c r="B136" s="156"/>
    </row>
    <row r="137" spans="1:4">
      <c r="A137" s="68" t="s">
        <v>493</v>
      </c>
      <c r="B137" s="156"/>
      <c r="C137" s="156">
        <v>80000</v>
      </c>
    </row>
    <row r="138" spans="1:4">
      <c r="A138" s="68" t="s">
        <v>512</v>
      </c>
      <c r="B138" s="156"/>
      <c r="C138" s="156">
        <f>B9+B11</f>
        <v>14875.000000000002</v>
      </c>
    </row>
    <row r="139" spans="1:4" ht="16.5">
      <c r="A139" s="68" t="s">
        <v>513</v>
      </c>
      <c r="B139" s="156"/>
      <c r="C139" s="157">
        <f>0.25*B61</f>
        <v>-1875</v>
      </c>
      <c r="D139" s="68" t="s">
        <v>514</v>
      </c>
    </row>
    <row r="140" spans="1:4">
      <c r="A140" s="68" t="s">
        <v>13</v>
      </c>
      <c r="B140" s="156"/>
      <c r="C140" s="156">
        <f>SUM(C137:C139)</f>
        <v>93000</v>
      </c>
    </row>
    <row r="141" spans="1:4">
      <c r="B141" s="156"/>
    </row>
    <row r="142" spans="1:4">
      <c r="A142" s="158" t="s">
        <v>515</v>
      </c>
      <c r="B142" s="156"/>
    </row>
    <row r="143" spans="1:4">
      <c r="B143" s="156"/>
    </row>
    <row r="144" spans="1:4">
      <c r="A144" s="68" t="s">
        <v>516</v>
      </c>
      <c r="B144" s="156">
        <f>-B125</f>
        <v>-6000</v>
      </c>
    </row>
    <row r="145" spans="1:6" ht="16.5">
      <c r="A145" s="68" t="s">
        <v>517</v>
      </c>
      <c r="B145" s="157">
        <f>B153</f>
        <v>600</v>
      </c>
    </row>
    <row r="146" spans="1:6">
      <c r="A146" s="68" t="s">
        <v>13</v>
      </c>
      <c r="B146" s="156">
        <f>SUM(B144:B145)</f>
        <v>-5400</v>
      </c>
    </row>
    <row r="147" spans="1:6">
      <c r="B147" s="156"/>
    </row>
    <row r="148" spans="1:6">
      <c r="A148" s="68" t="s">
        <v>518</v>
      </c>
      <c r="B148" s="156"/>
      <c r="E148" s="160" t="s">
        <v>521</v>
      </c>
      <c r="F148" s="161"/>
    </row>
    <row r="149" spans="1:6">
      <c r="A149" s="68" t="s">
        <v>496</v>
      </c>
      <c r="B149" s="156">
        <f>B104</f>
        <v>27000</v>
      </c>
      <c r="E149" s="156">
        <v>33000</v>
      </c>
    </row>
    <row r="150" spans="1:6" ht="16.5">
      <c r="A150" s="68" t="s">
        <v>519</v>
      </c>
      <c r="B150" s="157">
        <f>B71</f>
        <v>24000</v>
      </c>
      <c r="E150" s="157">
        <v>24000</v>
      </c>
    </row>
    <row r="151" spans="1:6">
      <c r="A151" s="68" t="s">
        <v>23</v>
      </c>
      <c r="B151" s="156">
        <f>B149-B150</f>
        <v>3000</v>
      </c>
      <c r="E151" s="156">
        <f>E149-E150</f>
        <v>9000</v>
      </c>
    </row>
    <row r="152" spans="1:6">
      <c r="A152" s="68" t="s">
        <v>498</v>
      </c>
      <c r="B152" s="156">
        <f>-0.1*B151</f>
        <v>-300</v>
      </c>
      <c r="E152" s="156">
        <f>-E151*0.25*0.4</f>
        <v>-900</v>
      </c>
    </row>
    <row r="153" spans="1:6">
      <c r="A153" s="68" t="s">
        <v>520</v>
      </c>
      <c r="B153" s="156">
        <f>B152-B131</f>
        <v>600</v>
      </c>
      <c r="E153" s="156">
        <f>E152-B131</f>
        <v>0</v>
      </c>
    </row>
    <row r="154" spans="1:6">
      <c r="B154" s="156"/>
    </row>
  </sheetData>
  <sheetProtection password="D3EB" sheet="1" objects="1" scenarios="1"/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</vt:i4>
      </vt:variant>
    </vt:vector>
  </HeadingPairs>
  <TitlesOfParts>
    <vt:vector size="5" baseType="lpstr">
      <vt:lpstr>פתרון 1</vt:lpstr>
      <vt:lpstr>פתרון 2</vt:lpstr>
      <vt:lpstr>פתרון 3</vt:lpstr>
      <vt:lpstr>פתרון 4</vt:lpstr>
      <vt:lpstr>'פתרון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Albek</dc:creator>
  <cp:lastModifiedBy>MAAYAN</cp:lastModifiedBy>
  <cp:lastPrinted>2014-03-08T13:51:01Z</cp:lastPrinted>
  <dcterms:created xsi:type="dcterms:W3CDTF">2009-01-09T21:20:33Z</dcterms:created>
  <dcterms:modified xsi:type="dcterms:W3CDTF">2014-04-23T15:05:12Z</dcterms:modified>
</cp:coreProperties>
</file>