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20" windowHeight="5190" activeTab="2"/>
  </bookViews>
  <sheets>
    <sheet name="פתרון 1" sheetId="4" r:id="rId1"/>
    <sheet name="פתרון 2" sheetId="6" r:id="rId2"/>
    <sheet name="פיתרון 3" sheetId="5" r:id="rId3"/>
    <sheet name="פתרון 4" sheetId="1" r:id="rId4"/>
  </sheets>
  <definedNames>
    <definedName name="_xlnm.Print_Area" localSheetId="0">'פתרון 1'!$A$1:$G$222</definedName>
  </definedNames>
  <calcPr calcId="125725"/>
</workbook>
</file>

<file path=xl/calcChain.xml><?xml version="1.0" encoding="utf-8"?>
<calcChain xmlns="http://schemas.openxmlformats.org/spreadsheetml/2006/main">
  <c r="C61" i="6"/>
  <c r="H100"/>
  <c r="C59"/>
  <c r="C60"/>
  <c r="H32"/>
  <c r="H33"/>
  <c r="I31"/>
  <c r="C207" i="4" l="1"/>
  <c r="C202"/>
  <c r="C203" s="1"/>
  <c r="C209" s="1"/>
  <c r="C195"/>
  <c r="C196" s="1"/>
  <c r="C198" s="1"/>
  <c r="D41"/>
  <c r="E41"/>
  <c r="B41"/>
  <c r="K91" i="6" l="1"/>
  <c r="K90"/>
  <c r="I90"/>
  <c r="K89"/>
  <c r="I89"/>
  <c r="H83"/>
  <c r="H82"/>
  <c r="I82" s="1"/>
  <c r="J82" s="1"/>
  <c r="J83" s="1"/>
  <c r="I80"/>
  <c r="H80"/>
  <c r="H81" s="1"/>
  <c r="H79"/>
  <c r="I79" s="1"/>
  <c r="H78"/>
  <c r="J78" s="1"/>
  <c r="C73"/>
  <c r="H72"/>
  <c r="I72" s="1"/>
  <c r="J72" s="1"/>
  <c r="J73" s="1"/>
  <c r="H70"/>
  <c r="J70" s="1"/>
  <c r="J71" s="1"/>
  <c r="C64"/>
  <c r="C63"/>
  <c r="C72" s="1"/>
  <c r="I60"/>
  <c r="C54"/>
  <c r="I53"/>
  <c r="B53"/>
  <c r="C50"/>
  <c r="I45"/>
  <c r="C41" s="1"/>
  <c r="B42" s="1"/>
  <c r="I38"/>
  <c r="H38"/>
  <c r="I39" s="1"/>
  <c r="C34"/>
  <c r="B39" s="1"/>
  <c r="B31"/>
  <c r="H28"/>
  <c r="I26"/>
  <c r="H26"/>
  <c r="C22"/>
  <c r="I21"/>
  <c r="I20"/>
  <c r="I19"/>
  <c r="H19"/>
  <c r="C12"/>
  <c r="H9"/>
  <c r="C9"/>
  <c r="I44" s="1"/>
  <c r="I46" s="1"/>
  <c r="C17" s="1"/>
  <c r="H8"/>
  <c r="C7"/>
  <c r="I56" s="1"/>
  <c r="H6"/>
  <c r="H10" s="1"/>
  <c r="C6"/>
  <c r="H5"/>
  <c r="C5"/>
  <c r="H27" l="1"/>
  <c r="H71"/>
  <c r="I71" s="1"/>
  <c r="I83"/>
  <c r="I22"/>
  <c r="C8" s="1"/>
  <c r="I54" s="1"/>
  <c r="I55" s="1"/>
  <c r="I57" s="1"/>
  <c r="I61" s="1"/>
  <c r="I62" s="1"/>
  <c r="I28"/>
  <c r="H11"/>
  <c r="C10"/>
  <c r="C13"/>
  <c r="I40"/>
  <c r="I41" s="1"/>
  <c r="C16" s="1"/>
  <c r="C62" s="1"/>
  <c r="C71" s="1"/>
  <c r="H73"/>
  <c r="I73" s="1"/>
  <c r="I75" s="1"/>
  <c r="J80"/>
  <c r="J81" s="1"/>
  <c r="I81" s="1"/>
  <c r="I85" s="1"/>
  <c r="J79"/>
  <c r="I91" l="1"/>
  <c r="I66"/>
  <c r="I67" s="1"/>
  <c r="H75"/>
  <c r="H74" s="1"/>
  <c r="J74" s="1"/>
  <c r="J75" s="1"/>
  <c r="C69" s="1"/>
  <c r="C18"/>
  <c r="H85" l="1"/>
  <c r="H84" s="1"/>
  <c r="J84" s="1"/>
  <c r="J85" s="1"/>
  <c r="C70" s="1"/>
  <c r="C40"/>
  <c r="C43" s="1"/>
  <c r="C23"/>
  <c r="C24" s="1"/>
  <c r="C25" s="1"/>
  <c r="B27" s="1"/>
  <c r="C35"/>
  <c r="C36" s="1"/>
  <c r="I92" l="1"/>
  <c r="I93" s="1"/>
  <c r="C28"/>
  <c r="B47" s="1"/>
  <c r="C48" s="1"/>
  <c r="C68" l="1"/>
  <c r="C74" s="1"/>
  <c r="D191" i="5" l="1"/>
  <c r="L56" s="1"/>
  <c r="D187"/>
  <c r="D184"/>
  <c r="D173"/>
  <c r="D174" s="1"/>
  <c r="D175" s="1"/>
  <c r="D162"/>
  <c r="D157"/>
  <c r="D144"/>
  <c r="D143"/>
  <c r="D140"/>
  <c r="D129"/>
  <c r="D130" s="1"/>
  <c r="D131" s="1"/>
  <c r="D116"/>
  <c r="D117" s="1"/>
  <c r="D107"/>
  <c r="D104"/>
  <c r="D98"/>
  <c r="D99" s="1"/>
  <c r="D100" s="1"/>
  <c r="D92"/>
  <c r="D93" s="1"/>
  <c r="J81"/>
  <c r="J73"/>
  <c r="D72"/>
  <c r="D73" s="1"/>
  <c r="P63"/>
  <c r="D57"/>
  <c r="P9" s="1"/>
  <c r="P24" s="1"/>
  <c r="D55"/>
  <c r="D54"/>
  <c r="P49"/>
  <c r="A45"/>
  <c r="L24"/>
  <c r="P8"/>
  <c r="P23" s="1"/>
  <c r="D8"/>
  <c r="D4"/>
  <c r="D3"/>
  <c r="D2"/>
  <c r="D66" s="1"/>
  <c r="J84" l="1"/>
  <c r="D56"/>
  <c r="D58" s="1"/>
  <c r="D49" s="1"/>
  <c r="D50" s="1"/>
  <c r="D69" s="1"/>
  <c r="D9"/>
  <c r="L57"/>
  <c r="L68"/>
  <c r="L69" s="1"/>
  <c r="D110"/>
  <c r="D67"/>
  <c r="D15"/>
  <c r="P25"/>
  <c r="L36" s="1"/>
  <c r="P48"/>
  <c r="D177"/>
  <c r="L50"/>
  <c r="L10"/>
  <c r="D134"/>
  <c r="D178"/>
  <c r="D133"/>
  <c r="D17"/>
  <c r="D85"/>
  <c r="L9"/>
  <c r="D123" s="1"/>
  <c r="D124" s="1"/>
  <c r="D25" s="1"/>
  <c r="P10"/>
  <c r="L8" s="1"/>
  <c r="D77"/>
  <c r="D16"/>
  <c r="L79" s="1"/>
  <c r="M79" s="1"/>
  <c r="L23"/>
  <c r="D62"/>
  <c r="D111"/>
  <c r="D147"/>
  <c r="L29" s="1"/>
  <c r="D20"/>
  <c r="D64"/>
  <c r="B221" i="4"/>
  <c r="E45" s="1"/>
  <c r="B220"/>
  <c r="B45" s="1"/>
  <c r="B218"/>
  <c r="B217" s="1"/>
  <c r="B12" s="1"/>
  <c r="C186"/>
  <c r="C181"/>
  <c r="C182" s="1"/>
  <c r="C188" s="1"/>
  <c r="E44" s="1"/>
  <c r="C174"/>
  <c r="C175" s="1"/>
  <c r="C177" s="1"/>
  <c r="B44" s="1"/>
  <c r="B168"/>
  <c r="B162"/>
  <c r="B165" s="1"/>
  <c r="E43" s="1"/>
  <c r="B157"/>
  <c r="B153"/>
  <c r="B9" s="1"/>
  <c r="B149"/>
  <c r="B150" s="1"/>
  <c r="B151" s="1"/>
  <c r="B159" s="1"/>
  <c r="D43" s="1"/>
  <c r="B139"/>
  <c r="B127"/>
  <c r="B8" s="1"/>
  <c r="B126"/>
  <c r="B20" s="1"/>
  <c r="B120"/>
  <c r="B132" s="1"/>
  <c r="B71"/>
  <c r="D40" s="1"/>
  <c r="B70"/>
  <c r="C40" s="1"/>
  <c r="B68"/>
  <c r="E40" s="1"/>
  <c r="B67"/>
  <c r="B40" s="1"/>
  <c r="B59"/>
  <c r="B58"/>
  <c r="B57"/>
  <c r="B33"/>
  <c r="B32"/>
  <c r="B23"/>
  <c r="B22"/>
  <c r="B21"/>
  <c r="B18"/>
  <c r="B122" l="1"/>
  <c r="C45"/>
  <c r="B14"/>
  <c r="D179" i="5"/>
  <c r="D38" s="1"/>
  <c r="L16"/>
  <c r="D24"/>
  <c r="D82"/>
  <c r="D12" s="1"/>
  <c r="D63"/>
  <c r="L12"/>
  <c r="L13" s="1"/>
  <c r="D22"/>
  <c r="L37"/>
  <c r="D135"/>
  <c r="D26" s="1"/>
  <c r="L64"/>
  <c r="P62"/>
  <c r="P64" s="1"/>
  <c r="L63" s="1"/>
  <c r="P50"/>
  <c r="L48" s="1"/>
  <c r="D112"/>
  <c r="D18" s="1"/>
  <c r="L14"/>
  <c r="D65"/>
  <c r="D14"/>
  <c r="D23" s="1"/>
  <c r="L30"/>
  <c r="L41"/>
  <c r="D161"/>
  <c r="D78"/>
  <c r="D10" s="1"/>
  <c r="L25"/>
  <c r="D46" i="4"/>
  <c r="D51"/>
  <c r="B26"/>
  <c r="B28" s="1"/>
  <c r="B31" s="1"/>
  <c r="B34" s="1"/>
  <c r="D49" s="1"/>
  <c r="C44"/>
  <c r="B161"/>
  <c r="B163" s="1"/>
  <c r="C43" s="1"/>
  <c r="B43"/>
  <c r="N15" i="1"/>
  <c r="N33" s="1"/>
  <c r="E244"/>
  <c r="E245" s="1"/>
  <c r="E242"/>
  <c r="E243" s="1"/>
  <c r="E240"/>
  <c r="N9" s="1"/>
  <c r="E228"/>
  <c r="D220"/>
  <c r="D216"/>
  <c r="D212"/>
  <c r="F206"/>
  <c r="E202"/>
  <c r="E201"/>
  <c r="E15"/>
  <c r="E194" s="1"/>
  <c r="E188"/>
  <c r="N17" s="1"/>
  <c r="E13"/>
  <c r="E186" s="1"/>
  <c r="E30"/>
  <c r="E12"/>
  <c r="N11"/>
  <c r="N12" s="1"/>
  <c r="D168"/>
  <c r="D169" s="1"/>
  <c r="E27" s="1"/>
  <c r="D167"/>
  <c r="C146"/>
  <c r="C148"/>
  <c r="D156"/>
  <c r="C142"/>
  <c r="C141"/>
  <c r="C140"/>
  <c r="C139"/>
  <c r="C138"/>
  <c r="C137"/>
  <c r="C136"/>
  <c r="C135"/>
  <c r="C134"/>
  <c r="C133"/>
  <c r="F95"/>
  <c r="D222" s="1"/>
  <c r="F86"/>
  <c r="D122"/>
  <c r="D124"/>
  <c r="D118"/>
  <c r="D215" s="1"/>
  <c r="D120"/>
  <c r="D117"/>
  <c r="D111"/>
  <c r="F77" s="1"/>
  <c r="D223" s="1"/>
  <c r="N22" s="1"/>
  <c r="D68" i="5" l="1"/>
  <c r="L18" s="1"/>
  <c r="L31" s="1"/>
  <c r="L43" s="1"/>
  <c r="L58" s="1"/>
  <c r="L70" s="1"/>
  <c r="E187" i="1"/>
  <c r="E14" s="1"/>
  <c r="B46" i="4"/>
  <c r="B124"/>
  <c r="B138" s="1"/>
  <c r="B140" s="1"/>
  <c r="D190" i="5"/>
  <c r="D192" s="1"/>
  <c r="D39" s="1"/>
  <c r="L42"/>
  <c r="D37"/>
  <c r="L15"/>
  <c r="L27"/>
  <c r="D84"/>
  <c r="D86" s="1"/>
  <c r="D13" s="1"/>
  <c r="L77" s="1"/>
  <c r="D146"/>
  <c r="D148" s="1"/>
  <c r="D27" s="1"/>
  <c r="L17"/>
  <c r="L19"/>
  <c r="D167"/>
  <c r="D168" s="1"/>
  <c r="D34" s="1"/>
  <c r="D163"/>
  <c r="D33" s="1"/>
  <c r="E198" i="1"/>
  <c r="E189"/>
  <c r="E31" s="1"/>
  <c r="D119"/>
  <c r="E6" s="1"/>
  <c r="E203"/>
  <c r="F207" s="1"/>
  <c r="N35"/>
  <c r="N27"/>
  <c r="N10"/>
  <c r="E25" s="1"/>
  <c r="E20"/>
  <c r="E45" s="1"/>
  <c r="I46" s="1"/>
  <c r="D121"/>
  <c r="N6" s="1"/>
  <c r="D125"/>
  <c r="N24" s="1"/>
  <c r="E16"/>
  <c r="E195" s="1"/>
  <c r="E196" s="1"/>
  <c r="E236"/>
  <c r="E241"/>
  <c r="D109"/>
  <c r="D110" s="1"/>
  <c r="D108"/>
  <c r="F108" s="1"/>
  <c r="D106"/>
  <c r="D105"/>
  <c r="F105" s="1"/>
  <c r="D103"/>
  <c r="F111" s="1"/>
  <c r="F67"/>
  <c r="F65"/>
  <c r="D65"/>
  <c r="A22" s="1"/>
  <c r="F63"/>
  <c r="D63"/>
  <c r="A4" s="1"/>
  <c r="N85"/>
  <c r="N84"/>
  <c r="D165" s="1"/>
  <c r="D166" s="1"/>
  <c r="E9" s="1"/>
  <c r="N82"/>
  <c r="E7" s="1"/>
  <c r="B131" i="4" l="1"/>
  <c r="B133" s="1"/>
  <c r="B143" s="1"/>
  <c r="E42" s="1"/>
  <c r="E46" s="1"/>
  <c r="C42"/>
  <c r="C46" s="1"/>
  <c r="D53" s="1"/>
  <c r="D104" i="1"/>
  <c r="D107"/>
  <c r="D19" i="5"/>
  <c r="L28"/>
  <c r="L32" s="1"/>
  <c r="D151" s="1"/>
  <c r="L39"/>
  <c r="F107" i="1"/>
  <c r="I107" s="1"/>
  <c r="N18"/>
  <c r="E197"/>
  <c r="E32" s="1"/>
  <c r="N13"/>
  <c r="D176"/>
  <c r="N28"/>
  <c r="N34" s="1"/>
  <c r="N37" s="1"/>
  <c r="N88"/>
  <c r="N90" s="1"/>
  <c r="E4" s="1"/>
  <c r="F109"/>
  <c r="I109" s="1"/>
  <c r="F110"/>
  <c r="I110" s="1"/>
  <c r="D123"/>
  <c r="E24" s="1"/>
  <c r="D67"/>
  <c r="A37" s="1"/>
  <c r="D52" i="4" l="1"/>
  <c r="B60" s="1"/>
  <c r="B61" s="1"/>
  <c r="D54"/>
  <c r="L54" i="5"/>
  <c r="L40"/>
  <c r="L44" s="1"/>
  <c r="D152" s="1"/>
  <c r="D36"/>
  <c r="M77" s="1"/>
  <c r="M19"/>
  <c r="D28"/>
  <c r="N14" i="1"/>
  <c r="N16" s="1"/>
  <c r="E26"/>
  <c r="F96"/>
  <c r="D221" s="1"/>
  <c r="E8"/>
  <c r="E53" s="1"/>
  <c r="J53" s="1"/>
  <c r="D214"/>
  <c r="I108"/>
  <c r="D156" i="5" l="1"/>
  <c r="D158" s="1"/>
  <c r="D153"/>
  <c r="H153" s="1"/>
  <c r="G152" s="1"/>
  <c r="M32"/>
  <c r="D30"/>
  <c r="L55"/>
  <c r="L59" s="1"/>
  <c r="L66"/>
  <c r="E28" i="1"/>
  <c r="F87"/>
  <c r="F85" s="1"/>
  <c r="D218" s="1"/>
  <c r="I111"/>
  <c r="L67" i="5" l="1"/>
  <c r="L71"/>
  <c r="D203"/>
  <c r="G156"/>
  <c r="I157" s="1"/>
  <c r="E31"/>
  <c r="E32" s="1"/>
  <c r="D29"/>
  <c r="D32"/>
  <c r="E235" i="1"/>
  <c r="E237" s="1"/>
  <c r="N4"/>
  <c r="N19" s="1"/>
  <c r="D213"/>
  <c r="E11" s="1"/>
  <c r="E19" s="1"/>
  <c r="D219"/>
  <c r="E29" s="1"/>
  <c r="D40" i="5" l="1"/>
  <c r="M44"/>
  <c r="E230" i="1"/>
  <c r="E229"/>
  <c r="D195" i="5" l="1"/>
  <c r="D42"/>
  <c r="M59"/>
  <c r="E231" i="1"/>
  <c r="E232" s="1"/>
  <c r="E247" s="1"/>
  <c r="E246" s="1"/>
  <c r="E21" s="1"/>
  <c r="E22" s="1"/>
  <c r="I47" s="1"/>
  <c r="I48" s="1"/>
  <c r="I49" s="1"/>
  <c r="K54" s="1"/>
  <c r="J52" s="1"/>
  <c r="D44" i="5" l="1"/>
  <c r="M71"/>
  <c r="D196"/>
  <c r="D200" s="1"/>
  <c r="D202" s="1"/>
  <c r="D41"/>
  <c r="E34" i="1"/>
  <c r="E36" s="1"/>
  <c r="E37" s="1"/>
  <c r="O37" s="1"/>
  <c r="O19"/>
  <c r="E46"/>
  <c r="E47" s="1"/>
  <c r="E52" s="1"/>
  <c r="E48" l="1"/>
  <c r="F54" s="1"/>
  <c r="D197" i="5"/>
  <c r="G195" s="1"/>
  <c r="H196" s="1"/>
  <c r="E44"/>
  <c r="E43" s="1"/>
  <c r="D204"/>
  <c r="G200" s="1"/>
  <c r="I201" s="1"/>
  <c r="M78" l="1"/>
  <c r="I101" i="6"/>
  <c r="C65"/>
</calcChain>
</file>

<file path=xl/sharedStrings.xml><?xml version="1.0" encoding="utf-8"?>
<sst xmlns="http://schemas.openxmlformats.org/spreadsheetml/2006/main" count="980" uniqueCount="552">
  <si>
    <t>נדרש א- תנועה בחשבון השקעה</t>
  </si>
  <si>
    <t>נדרש ב- הרכב חשבון השקעה</t>
  </si>
  <si>
    <t>הסברים:</t>
  </si>
  <si>
    <t>השלמת נתונים חסרים:</t>
  </si>
  <si>
    <t>מאזן בוחן של חברת לוקה ליום 31.12.13:</t>
  </si>
  <si>
    <t>מזומן</t>
  </si>
  <si>
    <t>השקעה זמינה למכירה</t>
  </si>
  <si>
    <t>רכוש קבוע- מכונה</t>
  </si>
  <si>
    <t>רכוש קבוע נטו- רכב</t>
  </si>
  <si>
    <t>מס נדחה</t>
  </si>
  <si>
    <t>ספקים</t>
  </si>
  <si>
    <t>הפרשה בגין תביעה</t>
  </si>
  <si>
    <t>הון מניות</t>
  </si>
  <si>
    <t>פרמיה</t>
  </si>
  <si>
    <t>עודפים 1.1.13</t>
  </si>
  <si>
    <t>קרן שערוך- מכונה 1.1.13</t>
  </si>
  <si>
    <t>קרן הון ני"ע זמינים למכירה 1.1.13</t>
  </si>
  <si>
    <t>קרן הון בעל שליטה 1.1.13</t>
  </si>
  <si>
    <t>מכירות</t>
  </si>
  <si>
    <t>עלות מכר</t>
  </si>
  <si>
    <t>הוצאות הנהלה וכלליות</t>
  </si>
  <si>
    <t>הכנסות מימון</t>
  </si>
  <si>
    <t>הוצאות מימון</t>
  </si>
  <si>
    <t>הוצאות מס</t>
  </si>
  <si>
    <t>קרן שערוך- מכונה</t>
  </si>
  <si>
    <t xml:space="preserve">קרן הון ני"ע זמינים למכירה   </t>
  </si>
  <si>
    <t>דיבידנד לבעל שליטה</t>
  </si>
  <si>
    <t>PN</t>
  </si>
  <si>
    <t>הרכב חשבון השקעה של עידן בלוקה ליום 31.12.11</t>
  </si>
  <si>
    <t>שווי נירכש</t>
  </si>
  <si>
    <t>התאמת מדיניות- ר"ק</t>
  </si>
  <si>
    <t>הפרש מקורי:</t>
  </si>
  <si>
    <t>אג"ח לשלם</t>
  </si>
  <si>
    <t>מוניטין</t>
  </si>
  <si>
    <t>סה"כ</t>
  </si>
  <si>
    <t>סה"כ הרכב:</t>
  </si>
  <si>
    <t>31.12.11</t>
  </si>
  <si>
    <t>יתרה</t>
  </si>
  <si>
    <t>31.12.12</t>
  </si>
  <si>
    <t>31.12.13</t>
  </si>
  <si>
    <t>תביעה משפטית</t>
  </si>
  <si>
    <t>הפחתת ה"מ- ר"ק</t>
  </si>
  <si>
    <t>קרן זמין למכירה</t>
  </si>
  <si>
    <t>הפחתת ה"מ- אג"ח</t>
  </si>
  <si>
    <t>הפחתת ה"מ- תביעה</t>
  </si>
  <si>
    <t>רווחי אקוויטי</t>
  </si>
  <si>
    <t>עסקה עם בעל שליטה</t>
  </si>
  <si>
    <t>ע.פ (1) לוקה-עידן (מלאי)- יצירה</t>
  </si>
  <si>
    <t>ע.פ (1) מימוש</t>
  </si>
  <si>
    <t>ע.פ (2)עידן-לוקה (רכב)- יצירה</t>
  </si>
  <si>
    <t>ע.פ (2) מימוש</t>
  </si>
  <si>
    <t>יתרה לפני הנפקה</t>
  </si>
  <si>
    <t>הנפקה</t>
  </si>
  <si>
    <t>הפחתת מוניטין שלילי</t>
  </si>
  <si>
    <t>יתרה לאחר הנפקה</t>
  </si>
  <si>
    <t>יתרה לפני מכירה</t>
  </si>
  <si>
    <t>מכירה</t>
  </si>
  <si>
    <t>יתרה לאחר מכירה</t>
  </si>
  <si>
    <t>בדיקה</t>
  </si>
  <si>
    <t>בסיס המס</t>
  </si>
  <si>
    <t>שווי פינקסני</t>
  </si>
  <si>
    <t>הפרש</t>
  </si>
  <si>
    <t>פקודת היומן:</t>
  </si>
  <si>
    <t>חובה</t>
  </si>
  <si>
    <t>זכות</t>
  </si>
  <si>
    <t>הוצאות מס נדחות</t>
  </si>
  <si>
    <t>קרן הון ני"ע</t>
  </si>
  <si>
    <t>שיעורי החזקה:</t>
  </si>
  <si>
    <t>עידן-לוקה</t>
  </si>
  <si>
    <t>לוקה-גורג</t>
  </si>
  <si>
    <t>1.1.10</t>
  </si>
  <si>
    <t>5000/(40000-20000)=</t>
  </si>
  <si>
    <t>השקעה זמינה למכירה בחברת גורג</t>
  </si>
  <si>
    <t>השקעה</t>
  </si>
  <si>
    <t>קרן הון</t>
  </si>
  <si>
    <t>רכישה</t>
  </si>
  <si>
    <t>שערוך</t>
  </si>
  <si>
    <t>התאמת מדיניות- ר"ק מכונה</t>
  </si>
  <si>
    <t>פחת</t>
  </si>
  <si>
    <t>(190000*12/15-X)*0.25*0.75=-5250</t>
  </si>
  <si>
    <t>X=180000</t>
  </si>
  <si>
    <t>שחזור שווי הוגן ליום 31.12.11:</t>
  </si>
  <si>
    <t>(190000/15-180000/12)*0.25*0.75</t>
  </si>
  <si>
    <t>(200000-180000*11/12)*0.25*0.75</t>
  </si>
  <si>
    <t>(140000-200000*10/11)*0.5*0.75</t>
  </si>
  <si>
    <t>(190000/15-200000/11)*0.5*0.75</t>
  </si>
  <si>
    <t>שווי הוגן ל 31.12.13</t>
  </si>
  <si>
    <t>תשלומי האג"ח:</t>
  </si>
  <si>
    <t>תנועה:</t>
  </si>
  <si>
    <t>1.1.09</t>
  </si>
  <si>
    <t>30.6.09</t>
  </si>
  <si>
    <t>31.12.09</t>
  </si>
  <si>
    <t>30.6.10</t>
  </si>
  <si>
    <t>31.12.10</t>
  </si>
  <si>
    <t>30.6.11</t>
  </si>
  <si>
    <t>30.6.12</t>
  </si>
  <si>
    <t>30.6.13</t>
  </si>
  <si>
    <t>100000+600000*0.08</t>
  </si>
  <si>
    <t>500000*0.08</t>
  </si>
  <si>
    <t>150000+500000*0.08</t>
  </si>
  <si>
    <t>CASH FLOW</t>
  </si>
  <si>
    <t>50000+350000*0.08</t>
  </si>
  <si>
    <t>300000*0.08</t>
  </si>
  <si>
    <t>200000+300000*0.08</t>
  </si>
  <si>
    <t>70000+100000*0.08</t>
  </si>
  <si>
    <t>30000+30000*0.08</t>
  </si>
  <si>
    <t>ריבית</t>
  </si>
  <si>
    <t>מציאת ריבית שוק ליום 1.1.09</t>
  </si>
  <si>
    <t>(313155-X)*0.25=</t>
  </si>
  <si>
    <t>שחזור מההרכב חשבון השקעה שנתון בשאלה</t>
  </si>
  <si>
    <t>X=</t>
  </si>
  <si>
    <t xml:space="preserve"> csh(1=-320066, 2=24000, 3=224000…)</t>
  </si>
  <si>
    <t>irr=</t>
  </si>
  <si>
    <t xml:space="preserve"> csh(1=0, 2=24000, 3=224000, 4=78000, 5=32400) </t>
  </si>
  <si>
    <t xml:space="preserve"> csh(1=0, 2=78000, 3=32400) </t>
  </si>
  <si>
    <t>לא רלוונטי</t>
  </si>
  <si>
    <t>הפרש מקורי אג"ח:</t>
  </si>
  <si>
    <t>הפחתה</t>
  </si>
  <si>
    <t>שחזור שווי הוגן של התביעה ליום 1.1.10</t>
  </si>
  <si>
    <t>(X-20000)*0.25</t>
  </si>
  <si>
    <t>ב- 31.12.13 הגדילו את ההפרשה בספרים ל 50000 לפי המאזן בוחן שנתון בשאלה ולכן יש לסגור את שני ההפרשים המקוריים בגין התביעה.</t>
  </si>
  <si>
    <t>לפי נתוני השאלה</t>
  </si>
  <si>
    <t>עסקאות פנימיות</t>
  </si>
  <si>
    <t>ע.פ (1) לוקה-עידן (מלאי):</t>
  </si>
  <si>
    <t>1.1.12</t>
  </si>
  <si>
    <t>יצרה</t>
  </si>
  <si>
    <t>מימוש</t>
  </si>
  <si>
    <t>ע.פ (1)</t>
  </si>
  <si>
    <t>ע.פ (2)</t>
  </si>
  <si>
    <t>ע.פ (2) עידן- לוקה (רכב):</t>
  </si>
  <si>
    <t>ממאזן הבוחן שנתון בשאלה ניתן לראות שהרכב עומד על</t>
  </si>
  <si>
    <t>הוא היה צריך לעמוד על עלות מופחתת</t>
  </si>
  <si>
    <t>מכאן שהסב"ה ליום 31.12.13 הוא</t>
  </si>
  <si>
    <t>בספרי עידן הנכס היה צריך להיות רשום על הנמוך מבין</t>
  </si>
  <si>
    <t>עלות מופחתת</t>
  </si>
  <si>
    <t>סב"ה</t>
  </si>
  <si>
    <t>שחזור רווחים של לוקה</t>
  </si>
  <si>
    <t>תנועה בהון העצמי:</t>
  </si>
  <si>
    <t>רווחים</t>
  </si>
  <si>
    <t>קרן שערוך</t>
  </si>
  <si>
    <t>מנתוני השאלה</t>
  </si>
  <si>
    <t>עליה בשיעור החזקה בעקבות הנפקה</t>
  </si>
  <si>
    <t>תמורה</t>
  </si>
  <si>
    <t>שווי נרכש:</t>
  </si>
  <si>
    <t>דקה לפני</t>
  </si>
  <si>
    <t>דקה אחרי</t>
  </si>
  <si>
    <t>הפרש מקורי</t>
  </si>
  <si>
    <t>תיקון הון עצמי:</t>
  </si>
  <si>
    <t>נתון</t>
  </si>
  <si>
    <t>התאמת מדיניות</t>
  </si>
  <si>
    <t>ייחוס ה"מ נוסף:</t>
  </si>
  <si>
    <t>מכונה</t>
  </si>
  <si>
    <t xml:space="preserve">בסיס המס </t>
  </si>
  <si>
    <t>נדרש ג- פקודת יומן בגין כוונת מכירה 1.1.13</t>
  </si>
  <si>
    <t>בנוסף ניתן לחשב אותם באופן ישיר ממאזן הבוחן</t>
  </si>
  <si>
    <t>פיתרון אפשרי נוסף בעקבות הע.פ בגין המלאי, כי הנכס נימצא אצל עידן ובעת יצירת המס הנדחה  לא ידוע שהמלאי</t>
  </si>
  <si>
    <t xml:space="preserve"> </t>
  </si>
  <si>
    <t>ימומש ב- 2013 ולכן צריך לנטרל את העסקה הפנימית מההשקעה הזו:</t>
  </si>
  <si>
    <t>מועד ב' סמסטר א' - תשע"ג - מאזנים מאוחדים א'</t>
  </si>
  <si>
    <t>שאלה בנושא 12-IAS</t>
  </si>
  <si>
    <t>דוח התאמה למס - שנת 2013</t>
  </si>
  <si>
    <t>רווח לפני מס בספרים:</t>
  </si>
  <si>
    <t>הוסף:</t>
  </si>
  <si>
    <t>הכנסות מימון אג"ח - מס הכנסה (ג)</t>
  </si>
  <si>
    <t>V</t>
  </si>
  <si>
    <t>פחת פטנט - ספרים (ד)</t>
  </si>
  <si>
    <t>ביטול ירידת ערך שנרשמה בספרים - פטנט (ד)</t>
  </si>
  <si>
    <t xml:space="preserve">הוצאות מחקר ופיתוח - ספרים </t>
  </si>
  <si>
    <t>הוצאות בגין חובות מסופקים (ו)</t>
  </si>
  <si>
    <t>תרומה *</t>
  </si>
  <si>
    <t>הפחת:</t>
  </si>
  <si>
    <t>הוצאות הנפקה - מניות</t>
  </si>
  <si>
    <t xml:space="preserve">3,000/3 = </t>
  </si>
  <si>
    <t>רווח הון ממימוש מחצית מניות "לימון" *</t>
  </si>
  <si>
    <t>25,000*(1.2-1)=</t>
  </si>
  <si>
    <t>הוצאות הנפקה - אג"ח</t>
  </si>
  <si>
    <t>הכנסות מימון אג"ח - ספרים (ג)</t>
  </si>
  <si>
    <t>פחת פטנט - מס הכנסה (ד)</t>
  </si>
  <si>
    <t>30,000/5=</t>
  </si>
  <si>
    <t>הוצאות מחקר ופיתוח - מס הכנסה</t>
  </si>
  <si>
    <t>(50,000+70,000)/3=</t>
  </si>
  <si>
    <t>חובות אבודים (ו)</t>
  </si>
  <si>
    <t>הכנסה חייבת</t>
  </si>
  <si>
    <t>חבות המס</t>
  </si>
  <si>
    <t>שיעור מס רגיל</t>
  </si>
  <si>
    <t>25,000*(1.2-1)*0.2=</t>
  </si>
  <si>
    <t>זיכוי - תרומה *</t>
  </si>
  <si>
    <t>5,000*0.35=</t>
  </si>
  <si>
    <t>ביאור מסים נדחים</t>
  </si>
  <si>
    <t>12/2012</t>
  </si>
  <si>
    <t>שינוי</t>
  </si>
  <si>
    <t>שינוי אחר</t>
  </si>
  <si>
    <t>12/2013</t>
  </si>
  <si>
    <t>הוצאות הנפקה (א)</t>
  </si>
  <si>
    <t>השקעה במניות חברת "לימון" - ניירות ערך זמינים למכירה (ב)</t>
  </si>
  <si>
    <t>אג"ח (ג)</t>
  </si>
  <si>
    <t>פטנט (ד)</t>
  </si>
  <si>
    <t>הוצאות מחקר ופיתוח (ה)</t>
  </si>
  <si>
    <t>הלח"מ (ו)</t>
  </si>
  <si>
    <t>חישוב הוצאות המס בספרים</t>
  </si>
  <si>
    <t>הוצאות מס שוטפות בספרים = חבות המס:</t>
  </si>
  <si>
    <t>הכנסות מס נדחות:</t>
  </si>
  <si>
    <t>שיעור מס רגיל - סיכום כל מה שמסומן ב-V בדוח ההתאמה</t>
  </si>
  <si>
    <t>שינוי בשיעור המס</t>
  </si>
  <si>
    <t>הכנסות מס נדחות סה"כ:</t>
  </si>
  <si>
    <t>סה"כ הוצאות המס בספרים</t>
  </si>
  <si>
    <t>ביאור מס תיאורטי</t>
  </si>
  <si>
    <t>מס תיאורטי</t>
  </si>
  <si>
    <t>500,000*0.25=</t>
  </si>
  <si>
    <t>5,000*(0.35-0.25)=</t>
  </si>
  <si>
    <t>5,000*(0.25-0.2)=</t>
  </si>
  <si>
    <t>הוצאות המס האפקטיביות בספרים</t>
  </si>
  <si>
    <t>ביאורים וחישובים</t>
  </si>
  <si>
    <t>(א)</t>
  </si>
  <si>
    <t>הוצאות הנפקה:</t>
  </si>
  <si>
    <t>יתרת מס נדחה 12/12:</t>
  </si>
  <si>
    <t>3,000*2/3*0.25=</t>
  </si>
  <si>
    <t>יתרת מס נדחה 12/13:</t>
  </si>
  <si>
    <t>3,000*1/3*0.26=</t>
  </si>
  <si>
    <t>קיטון במס נדחה בחובה - הפחתת הוצאות ההנפקה על ידי מס הכנסה - שינוי</t>
  </si>
  <si>
    <t>3,000*1/3*0.25=</t>
  </si>
  <si>
    <t>גידול במס נדחה בחובה - שינוי בשיעור המס - שינוי אחר</t>
  </si>
  <si>
    <t>3,000*1/3*(0.26-0.25)=</t>
  </si>
  <si>
    <t>(ב)</t>
  </si>
  <si>
    <t>השקעה במניות חברת "לימון"</t>
  </si>
  <si>
    <t>(ג)</t>
  </si>
  <si>
    <t>אג"ח שהונפקו</t>
  </si>
  <si>
    <t>תמורת ההנפקה ליום 1.10.2013 - ברוטו:</t>
  </si>
  <si>
    <t>PV(0.02,3,5000,100000)=</t>
  </si>
  <si>
    <t>בניכוי הוצאות הנפקה</t>
  </si>
  <si>
    <t>אג"ח בספרים ליום 1.1.11:</t>
  </si>
  <si>
    <t>חישוב ריבית אפקטיבית חדשה בספרים:</t>
  </si>
  <si>
    <t>הכנסות מימון - אג"ח (הפחתת פרמיה) - ספרים - 2013:</t>
  </si>
  <si>
    <t>104,652*(1.033446^0.25-1)-5,000*3/12=</t>
  </si>
  <si>
    <t>הכנסות מימון - אג"ח (הפחתת פרמיה) - מס הכנסה - 2013:</t>
  </si>
  <si>
    <t>108,652*(1.02^0.25-1)-5,000*3/12=</t>
  </si>
  <si>
    <t>מרכיב הכנסות המימון בגין הפחתת פרמיה חושב לאחר ניכוי ריבית לשלם שנצברה בגין התקופה 10-12/2013, בסך: 5,000*3/12=1,250.</t>
  </si>
  <si>
    <t>אג"ח בספרים ליום 31.12.13:</t>
  </si>
  <si>
    <t>PV(0.033446,3,5000,100000)*(1+0.033446)^3/12=</t>
  </si>
  <si>
    <t>אג"ח לצרכי מס ליום 31.12.13:</t>
  </si>
  <si>
    <t>PV(0.02,3,5000,100000)*(1+0.02)^3/12=</t>
  </si>
  <si>
    <t>על מנת לחשב את המס הנדחה בזכות ליום 31.12.2013, יש לחשב את ההפרש בין האג"ח בספרים לבין האג"ח לצרכי מס ליום 31.12.2014, כי שיעור המס קבוע החל מ-1.1.2015 ואילך:</t>
  </si>
  <si>
    <t>יש לחשב את ההפרש כאמור גם ליום 31.12.2014, מאחר ששיעור המס קבוע החל מיום 1.1.15:</t>
  </si>
  <si>
    <t>אג"ח בספרים ליום 31.12.14:</t>
  </si>
  <si>
    <t>PV(0.033446,2,5000,100000)*(1+0.033446)^3/12=</t>
  </si>
  <si>
    <t>אג"ח לצרכי מס ליום 31.12.14:</t>
  </si>
  <si>
    <t>PV(0.02,2,5000,100000)*(1+0.02)^3/12=</t>
  </si>
  <si>
    <t>מתוך הפרש של 3,675 ש"ח ליום 31.12.13, 1,329 ש"ח ייסגרו בשנת 2014 והיתרה בסך 2,346 ש"ח תיסגר בשנים 2015-2016. לכן:</t>
  </si>
  <si>
    <t>מס נדחה בזכות ליום 31.12.13:</t>
  </si>
  <si>
    <t xml:space="preserve">1,329*0.26 + 2,346*0.27 = </t>
  </si>
  <si>
    <t>(ד)</t>
  </si>
  <si>
    <t>פטנט:</t>
  </si>
  <si>
    <t>מס נדחה ליום 31.12.12</t>
  </si>
  <si>
    <t>פטנט - ספרים</t>
  </si>
  <si>
    <t>פטנט - מס הכנסה</t>
  </si>
  <si>
    <t>30,000 * 4.5/5 =</t>
  </si>
  <si>
    <t>מס נדחה בזכות ליום 31.12.12</t>
  </si>
  <si>
    <t xml:space="preserve">13,000 * 0.25 = </t>
  </si>
  <si>
    <t>פטנט - פחת ספרים - 2013</t>
  </si>
  <si>
    <t>40,000*1/4.5=</t>
  </si>
  <si>
    <t>פטנט - פחת מס הכנסה - 2013</t>
  </si>
  <si>
    <t>30,000*1/5=</t>
  </si>
  <si>
    <t>פטנט בספרים, לאחר ירידת ערך, ליום 31.12.13</t>
  </si>
  <si>
    <t>פטנט לצרכי מס ליום 31.12.13</t>
  </si>
  <si>
    <t>30,000*3.5/5=</t>
  </si>
  <si>
    <t>שינוי אחר (איפוס מס נדחה בגין קרן שערוך בשל ירידת ערך)</t>
  </si>
  <si>
    <t>3,250 * 3.5/4.5=</t>
  </si>
  <si>
    <t>שינוי במס נדחה (פחת)</t>
  </si>
  <si>
    <t>3,250*1/4.5=</t>
  </si>
  <si>
    <t>שינוי במס נדחה (ירידת ערך שאינה מוכרת לצרכי מס)</t>
  </si>
  <si>
    <t>(21,000-15,000)*(1/3.5*0.26+2.5/3.5*0.27)=</t>
  </si>
  <si>
    <t>סה"כ שינוי במס נדחה - פטנט (ללא שינוי אחר)</t>
  </si>
  <si>
    <t>יתרת מס נדחה בחובה ליום 31.12.13</t>
  </si>
  <si>
    <t>מס הכנסה לא מכיר בירידת ערך פטנט, ולכן בסוף 2013 יש מס נדחה בחובה על ההפרש: 21,000-15,000.</t>
  </si>
  <si>
    <t>ירידת הערך שנרשמה בספרים - פטנט</t>
  </si>
  <si>
    <t>(30,000*3.5/5-15,000)=</t>
  </si>
  <si>
    <t>(ה)</t>
  </si>
  <si>
    <t>הוצאות מחקר ופיתוח:</t>
  </si>
  <si>
    <t>31.12.2012</t>
  </si>
  <si>
    <t>נכס בספרים</t>
  </si>
  <si>
    <t>נכס למס הכנסה</t>
  </si>
  <si>
    <t>50,000*2/3=</t>
  </si>
  <si>
    <t xml:space="preserve">שיעור המס </t>
  </si>
  <si>
    <t>יתרת מס נדחה בחובה</t>
  </si>
  <si>
    <t>31.12.2013</t>
  </si>
  <si>
    <t>(50,000/3+70,000*2/3)=</t>
  </si>
  <si>
    <t>על מנת לחשב את המס הנדחה ליום 31.12.2013, יש לחשב את ההפרש בין הספרים למס הכנסה ליום 31.12.2014:</t>
  </si>
  <si>
    <t>נכס בספרים - 31.12.14</t>
  </si>
  <si>
    <t>נכס למס הכנסה - 31.12.14</t>
  </si>
  <si>
    <t>70,000/3=</t>
  </si>
  <si>
    <t>יתרת מס נדחה בחובה ליום 31.12.13:</t>
  </si>
  <si>
    <t>(63,333-23,333)*0.26+23,333*0.27=</t>
  </si>
  <si>
    <t>(ו)</t>
  </si>
  <si>
    <t>אחוז ההפרשה לחובות מסופקים:</t>
  </si>
  <si>
    <t xml:space="preserve">3,000/30,000 = </t>
  </si>
  <si>
    <t>הפרשה לחובות מסופקים</t>
  </si>
  <si>
    <t>י.פ. 31.12.12</t>
  </si>
  <si>
    <t>חובות אבודים</t>
  </si>
  <si>
    <t>הוצאות בגין חובות מסופקים (PN)</t>
  </si>
  <si>
    <t>י.ס. 31.12.13</t>
  </si>
  <si>
    <t xml:space="preserve">40,000* 0.1 = </t>
  </si>
  <si>
    <t>מס נדחה בחובה 31.12.12:</t>
  </si>
  <si>
    <t xml:space="preserve">3,000 * 0.25 = </t>
  </si>
  <si>
    <t>מס נדחה בחובה 31.12.13:</t>
  </si>
  <si>
    <t xml:space="preserve">4,000 * 0.26 = </t>
  </si>
  <si>
    <t>אחוזי החזקה</t>
  </si>
  <si>
    <t>1/1/2012-1/7/2013</t>
  </si>
  <si>
    <t>1/7/2013-31/12/2013</t>
  </si>
  <si>
    <t>31/12/2013</t>
  </si>
  <si>
    <t>ניקוד</t>
  </si>
  <si>
    <t>נדרש א:</t>
  </si>
  <si>
    <t>נדרש ב:</t>
  </si>
  <si>
    <t>תנועה בחשבון השקעה</t>
  </si>
  <si>
    <t>הפרשה לירידת ערך</t>
  </si>
  <si>
    <t>ביאור</t>
  </si>
  <si>
    <t>הרכב חשבון השקעה</t>
  </si>
  <si>
    <t>31/12/2012</t>
  </si>
  <si>
    <t>עלות 1/1/2012</t>
  </si>
  <si>
    <t>חלק בשווי</t>
  </si>
  <si>
    <t>סה"כ הון</t>
  </si>
  <si>
    <t>רווחי אקויטי</t>
  </si>
  <si>
    <t>התאמה בגין הסתייגות</t>
  </si>
  <si>
    <t>שייך למניות בכורה</t>
  </si>
  <si>
    <t>דיבידנד</t>
  </si>
  <si>
    <t>התאמה בגין מדיניות</t>
  </si>
  <si>
    <t>שייך למניות רגילות</t>
  </si>
  <si>
    <t>הפחתת עודף עלות</t>
  </si>
  <si>
    <t>יתרת עודף עלות</t>
  </si>
  <si>
    <t>מלאי (בגין מכירה)</t>
  </si>
  <si>
    <t>מלאי</t>
  </si>
  <si>
    <t>מלאי (ירידת ערך)</t>
  </si>
  <si>
    <t>נדלן להשקעה</t>
  </si>
  <si>
    <t>רכוש קבוע</t>
  </si>
  <si>
    <t>התאמה בגין הסתייגות- ני"ע</t>
  </si>
  <si>
    <t>התאמה בגין מדיניות- נדלן</t>
  </si>
  <si>
    <t>ירידת ערך רכוש קבוע</t>
  </si>
  <si>
    <t>רווחי אקויטי 1-6/13</t>
  </si>
  <si>
    <t>לפני מכירה</t>
  </si>
  <si>
    <t>30/06/2013</t>
  </si>
  <si>
    <t>30/06/13  לפני מכירה</t>
  </si>
  <si>
    <t>גריעה</t>
  </si>
  <si>
    <t>30/06/13 אחרי מכירה</t>
  </si>
  <si>
    <t>ירידת ערך השקעה בכללותה</t>
  </si>
  <si>
    <t>30/06/13</t>
  </si>
  <si>
    <t>רווחי אקויטי 7-12/13</t>
  </si>
  <si>
    <t>אחרי מכירה</t>
  </si>
  <si>
    <t>עליית ערך רכוש קבוע</t>
  </si>
  <si>
    <t>לפני הנפקה 31/12/13</t>
  </si>
  <si>
    <t>אחרי הנפקה 31/12/13</t>
  </si>
  <si>
    <t>31/12/13</t>
  </si>
  <si>
    <t>חישוב עודף עלות</t>
  </si>
  <si>
    <t>לפני הנפקה</t>
  </si>
  <si>
    <t>שווי מאזני נרכש</t>
  </si>
  <si>
    <t>חישוב הון מתוקן</t>
  </si>
  <si>
    <t>הון מתוקן דברה</t>
  </si>
  <si>
    <t>חלק מניות בכורה</t>
  </si>
  <si>
    <t>חלק מניות רגילות</t>
  </si>
  <si>
    <t>ייחוס עודף עלות</t>
  </si>
  <si>
    <t>אחרי הנפקה</t>
  </si>
  <si>
    <t>נדל"ן להשקעה</t>
  </si>
  <si>
    <t>נס נדחה</t>
  </si>
  <si>
    <t>מניות בכורה</t>
  </si>
  <si>
    <t>מניות רגילות</t>
  </si>
  <si>
    <t>נדרש ג: השפעה על הדוח על הרווח הכולל</t>
  </si>
  <si>
    <t>רו"ה</t>
  </si>
  <si>
    <t>הפסד הון</t>
  </si>
  <si>
    <t>רווח כולל אחר</t>
  </si>
  <si>
    <t>הפחתת עודף עלות מלאי</t>
  </si>
  <si>
    <t>הפחתת מלאי שנמכר</t>
  </si>
  <si>
    <t>מלאי שטרם נמכר</t>
  </si>
  <si>
    <t>רשום</t>
  </si>
  <si>
    <t>צריך להיות</t>
  </si>
  <si>
    <t>י.ערך מלאי שטרם נמכר</t>
  </si>
  <si>
    <t xml:space="preserve">התאמה בגין הסתייגות- ניירות ערך </t>
  </si>
  <si>
    <t>ספרי דברה רשום</t>
  </si>
  <si>
    <t>ספרי דברה צ"ל</t>
  </si>
  <si>
    <t>נטו ממס</t>
  </si>
  <si>
    <t>התאמה בגין מדיניות- נדל"ן</t>
  </si>
  <si>
    <t>ספרי דברה רשום שווי הוגן</t>
  </si>
  <si>
    <t>נקודת מבט בן צ"ל עלות</t>
  </si>
  <si>
    <t>ספרי דברה</t>
  </si>
  <si>
    <t>עלות מופחתת מקורית</t>
  </si>
  <si>
    <t>ערך בר השבה</t>
  </si>
  <si>
    <t>נקודת מבט בן</t>
  </si>
  <si>
    <t>עלות מופחת מקורית</t>
  </si>
  <si>
    <t>יתרת עודף עלות רשום</t>
  </si>
  <si>
    <t>יתרת עודף עלות צריך להיות</t>
  </si>
  <si>
    <t>ירידת ערך</t>
  </si>
  <si>
    <t>מניות בכורה א</t>
  </si>
  <si>
    <t>מניות בכורה ב</t>
  </si>
  <si>
    <t>התאמה בגין הסתייגות 30/06/13</t>
  </si>
  <si>
    <t>התאמה בגין הסתייגות 31/12/12</t>
  </si>
  <si>
    <t>תנועה</t>
  </si>
  <si>
    <t xml:space="preserve">נטו ממס </t>
  </si>
  <si>
    <t>התאמה בגין מדיניות 30/06/13</t>
  </si>
  <si>
    <t>התאמה בגין מדיניות 31/12/12</t>
  </si>
  <si>
    <t>השקעה לפני</t>
  </si>
  <si>
    <t>ח  מזומן</t>
  </si>
  <si>
    <t>השקעה אחרי</t>
  </si>
  <si>
    <t>ח הפסד הון</t>
  </si>
  <si>
    <t>ז השקעה</t>
  </si>
  <si>
    <t>השקעה רשום</t>
  </si>
  <si>
    <t>השקעה צ"ל- שווי שוק</t>
  </si>
  <si>
    <t>ז הפרשה לירידת ערך</t>
  </si>
  <si>
    <t>התאמה בגין מדיניות 31/12/13</t>
  </si>
  <si>
    <t>עליית ערך</t>
  </si>
  <si>
    <t>הפרשה לירידת ערך צ"ל</t>
  </si>
  <si>
    <t>הפרשה לירידת ערך רשום</t>
  </si>
  <si>
    <t>פתרון נדרש א' - תנועה בהשקעה בחברת "גירים" לשנים 2012-2014</t>
  </si>
  <si>
    <t>דף ההסברים</t>
  </si>
  <si>
    <t>הסבר 1 - רכישת חברת "גירים" ע"י "ברקן"</t>
  </si>
  <si>
    <t>עלות 01/01/12</t>
  </si>
  <si>
    <t>שווי נרכש</t>
  </si>
  <si>
    <t>הפחתת ע.ע.</t>
  </si>
  <si>
    <t>עודף עלות</t>
  </si>
  <si>
    <t>ני"ע זמינים למכירה</t>
  </si>
  <si>
    <t>מיוחס ל :</t>
  </si>
  <si>
    <t>ירידת ערך מכונת יצור א'</t>
  </si>
  <si>
    <t>הסבר 2</t>
  </si>
  <si>
    <t>מכונת יצור א'</t>
  </si>
  <si>
    <t>ע.פ. מלאי</t>
  </si>
  <si>
    <t>יתרה 12/12</t>
  </si>
  <si>
    <t>רווחי אקוויטי 2013</t>
  </si>
  <si>
    <t>*את השינוי בשיעור המס יש להחיל רק החל מ 2013, לא ניקח אותו בחשבון למס הנדחה י.ס.  בשנת 2012 כי שיעור המס החדש</t>
  </si>
  <si>
    <t>לא היה ידוע נכון ל 31/12/12.</t>
  </si>
  <si>
    <t>הסבר 3</t>
  </si>
  <si>
    <t>עליית ערך מכונת יצור א'</t>
  </si>
  <si>
    <t>הסבר 4</t>
  </si>
  <si>
    <t>הסבר 2 - ירידת ערך מכונת יצור א' ב 2012</t>
  </si>
  <si>
    <t>מימוש ע.פ. מלאי</t>
  </si>
  <si>
    <t>הסבר 5</t>
  </si>
  <si>
    <t>"גירים"</t>
  </si>
  <si>
    <t>"ברקן"</t>
  </si>
  <si>
    <t>יתרה 31/12/13</t>
  </si>
  <si>
    <t>בר השבה</t>
  </si>
  <si>
    <t>נדרש ב' - פקודת יומן בגין כוונת מכירת מחצית ממהשקעה בחברת "גירים"</t>
  </si>
  <si>
    <t>יתרת עודף עלות צ"ל (נטו ממס) :</t>
  </si>
  <si>
    <t xml:space="preserve">יש ליצור מס נדחה בגין כוונת המכירה על מחצית מההשקעה בחברת "גירים" : </t>
  </si>
  <si>
    <t>יתרת עודף עלות רשומה :</t>
  </si>
  <si>
    <t>שווי מנקודת מבט מס הכנסה :</t>
  </si>
  <si>
    <t>ירידת ערך שתירשם בחשבון ההשקעה :</t>
  </si>
  <si>
    <t>שווי מנקודת מבט חברת "ברקן " :</t>
  </si>
  <si>
    <t xml:space="preserve">יתקבל גם פתרון בו מנטרלים את </t>
  </si>
  <si>
    <t>הפרש זמני :</t>
  </si>
  <si>
    <t>העסקה הפנימית בחישוב שווי מנקודת ברקן</t>
  </si>
  <si>
    <t>הסבר 3 - ני"ע זמינים למכירה 2013</t>
  </si>
  <si>
    <t>התחייבות מס נדחה שיש ליצור :</t>
  </si>
  <si>
    <t>תנועה בקרן ההון</t>
  </si>
  <si>
    <t>חברת "גירים"</t>
  </si>
  <si>
    <t>חברת "ברקן"</t>
  </si>
  <si>
    <t>פקודת יומן ב"ברקן" :</t>
  </si>
  <si>
    <t>שנת 2013</t>
  </si>
  <si>
    <t>נדרש ג' - פקודות היומן בגין מכירת מחצית מההשקעה בחברת "גירים"</t>
  </si>
  <si>
    <t>שיעור ההחזקה שנותר :</t>
  </si>
  <si>
    <t>יש לנקוט בגישת המעברים מ IAS28 ל IAS39.</t>
  </si>
  <si>
    <t>הפסדי אקוויטי</t>
  </si>
  <si>
    <t>כמו כן, אסור לממש את הע.פ. של המלאי כי הוא נמצא אצל חברת "ברקן"</t>
  </si>
  <si>
    <t>תמורה ממכירת מחצית מההשקעה :</t>
  </si>
  <si>
    <t>שווי פנקסני כולל ע.פ. מלאי :</t>
  </si>
  <si>
    <t>הסבר 4 - עליית ערך מכונת יצור א' ב 2013</t>
  </si>
  <si>
    <t>רווח הון</t>
  </si>
  <si>
    <t>השקעה IAS39</t>
  </si>
  <si>
    <t>השקעה IAS28</t>
  </si>
  <si>
    <t>מלאי (אצל ברקן)</t>
  </si>
  <si>
    <t>עליית ערך שתירשם בחשבון ההשקעה :</t>
  </si>
  <si>
    <t>מס נדחה בגין מלאי</t>
  </si>
  <si>
    <t>הסבר 5 - מימוש ע.פ. מלאי</t>
  </si>
  <si>
    <t>טיפול במס :</t>
  </si>
  <si>
    <t>יתרת ע.פ. רשומה :</t>
  </si>
  <si>
    <t>סגירת מיסים נדחים תשלום מס בגין המכירה :</t>
  </si>
  <si>
    <t>יתרת ע.פ. צריכה להיות :</t>
  </si>
  <si>
    <t xml:space="preserve">מימוש ע.פ. </t>
  </si>
  <si>
    <t>הוצאות מס שוטפות</t>
  </si>
  <si>
    <t>הסבר 6 - רכישת חברת "ברקן" ע"י "אלונים"</t>
  </si>
  <si>
    <t>מס לשלם</t>
  </si>
  <si>
    <t>(165000-125000)*20%=</t>
  </si>
  <si>
    <t>שלב מקדים - תיקון ההון העצמי של חברת ברקן למועד הרכישה</t>
  </si>
  <si>
    <t>יצירת מס נדחה בגין יתרת ההשקעה לפי IAS39 :</t>
  </si>
  <si>
    <t>מציאת הרווח הנכון של "ברקן" לשנת 2012 :</t>
  </si>
  <si>
    <t>רווח נתון</t>
  </si>
  <si>
    <t>ביטול רווח מני"ע זמינים שנרשם</t>
  </si>
  <si>
    <t>משיכת רווחי אקוויטי מ"גירים"</t>
  </si>
  <si>
    <t>רווח נקי מתוקן :</t>
  </si>
  <si>
    <t>נדרש ד' - תנועה והרכב חשבון ההשקעה של חברת "אלונים" בחברת "ברקן"</t>
  </si>
  <si>
    <t>משיכת קרן הון ני"ע של חברת "גירים"</t>
  </si>
  <si>
    <t>רווח כולל מתוקן :</t>
  </si>
  <si>
    <t>עלות 01/01/13</t>
  </si>
  <si>
    <t>הסבר 6</t>
  </si>
  <si>
    <t>הסבר 7</t>
  </si>
  <si>
    <t>הון עצמי נתון :</t>
  </si>
  <si>
    <t>ביטול רווח שגוי שנרשם ב 2012 :</t>
  </si>
  <si>
    <t>הסבר 8</t>
  </si>
  <si>
    <t>רישום רווח מתוקן :</t>
  </si>
  <si>
    <t>ביטול עליית ערך מכונת יצור א'</t>
  </si>
  <si>
    <t>מנקודת מבט "אלונים" אסור להכיר בעליית הערך</t>
  </si>
  <si>
    <t>הון עצמי מעודכן ל 01/01/13 :</t>
  </si>
  <si>
    <t xml:space="preserve">ע.פ. ריהוט </t>
  </si>
  <si>
    <t>ע.פ. ציוד משרדי</t>
  </si>
  <si>
    <t>חישב עודף עלות :</t>
  </si>
  <si>
    <t>הרכב</t>
  </si>
  <si>
    <t>חלק בשווי המאזני</t>
  </si>
  <si>
    <t>יחוס עודפי עלות חברת "גירים" :</t>
  </si>
  <si>
    <t>עודף עלות מיוחס לחברת "גירים"</t>
  </si>
  <si>
    <t>עודף עלות מיוחס לחברת "ברקן"</t>
  </si>
  <si>
    <t>התאמות מדידה שונה</t>
  </si>
  <si>
    <t>משאית</t>
  </si>
  <si>
    <t>יחוס עודפי עלות חברת "ברקן" :</t>
  </si>
  <si>
    <t>מפעל</t>
  </si>
  <si>
    <t>מכונית</t>
  </si>
  <si>
    <t>הסבר 7 - מציאת הרווח הנכון של "ברקן" לשנת 2013 :</t>
  </si>
  <si>
    <t>דרך אחרח:</t>
  </si>
  <si>
    <t>יתרת פתיחה מסים נדחים על השקעה</t>
  </si>
  <si>
    <t>ביטול עדכון המס הנדחה בגין רווח מ 2012</t>
  </si>
  <si>
    <t>יתרה סופית מסים נדחים</t>
  </si>
  <si>
    <t>הוצאות מס נדחות בגין כוונת מכירה</t>
  </si>
  <si>
    <t>הסבר 8 - משיכת ני"ע זמינים למכירה של חברת "גירים"</t>
  </si>
  <si>
    <t>מנקודת מבט של חברת "אלונים" אין קרן הון לסגירת ירידת הערך ולכן עליה להכיר בהפסד בגין קרן ההון: :</t>
  </si>
  <si>
    <t>פקודת יומן ב"אלונים" :</t>
  </si>
  <si>
    <t>יתקבל גם פתרון  בו ייחסו עודף עלות ב- 1.1.13 לפי המס המתוקן 20%</t>
  </si>
  <si>
    <t xml:space="preserve">תנועה בהשקעה, בקרן הון  ובמיסים הנדחים לשנת 2013 </t>
  </si>
  <si>
    <t>קרן הון- נטו</t>
  </si>
  <si>
    <t>יתרת פתיחה</t>
  </si>
  <si>
    <t>יתרה סופית</t>
  </si>
  <si>
    <t>פקודות יומן- שיטה (1)- כך לא מוצג הפתרון, אך כמובן שהוא יתקבל:</t>
  </si>
  <si>
    <t>1.1.13</t>
  </si>
  <si>
    <t>ח' מזומן</t>
  </si>
  <si>
    <t>ז' השקעה</t>
  </si>
  <si>
    <t>ח' קרן הון</t>
  </si>
  <si>
    <t>ז' רווח הון</t>
  </si>
  <si>
    <t>ח' הוצאות מס נדחות</t>
  </si>
  <si>
    <t>פקודת מס שוטף נצאת בתוך חישוב הוצאות מס שוטפות בדוח התאמה</t>
  </si>
  <si>
    <t>סגירת מסים נדחים</t>
  </si>
  <si>
    <t>ח' מס נדחה</t>
  </si>
  <si>
    <t>ז' הוצאות מס נדחות</t>
  </si>
  <si>
    <t>ח' השקעה</t>
  </si>
  <si>
    <t>ז'קרן הון</t>
  </si>
  <si>
    <t>ז' מס נדחה</t>
  </si>
  <si>
    <t>ביאור מסים נדחים לפי שיטה (1):</t>
  </si>
  <si>
    <t>סיווג מחדש</t>
  </si>
  <si>
    <t>פקודות יומן- שיטה (2)- כך מוצג הפתרון:</t>
  </si>
  <si>
    <t>נחזיר את קרן ההון לסעיף ברוטו וכך נסגור את יתרת המסים הנדחים</t>
  </si>
  <si>
    <t>ז' קרן הון</t>
  </si>
  <si>
    <t>סיווג מחדש לרווח והפסד- קרן הון ברוטו</t>
  </si>
  <si>
    <t>ביאור מסים נדחים לפי שיטה (2):</t>
  </si>
  <si>
    <t>יתקבל גם פתרון בו ניתן להניח שההוצאות מתפלגות באופן אחיד על פני השנה ולכן הפחת לצורכי מס נלקח מאצע שנה:</t>
  </si>
  <si>
    <t>50,000*2.5/3=</t>
  </si>
  <si>
    <t>(50,000*1.5/3+70,000*2.5/3)=</t>
  </si>
  <si>
    <t>50,000*0.5/3+70,000*1.5/3=</t>
  </si>
  <si>
    <t>(83,333-43,333)*0.26+43,333*0.27=</t>
  </si>
  <si>
    <t>אקוויטי בגין הני"ע</t>
  </si>
  <si>
    <t>יש למשוך 5100*0.3=1530, 675 מול איפוס הקרן שבזכות והיתרה מול רווחי אקוויטי</t>
  </si>
  <si>
    <t>אקווטי בגין הני"ע זמינים למכירה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</si>
</sst>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64" formatCode="&quot;$&quot;#,##0.00_);[Red]\(&quot;$&quot;#,##0.00\)"/>
    <numFmt numFmtId="165" formatCode="_(* #,##0.00_);_(* \(#,##0.00\);_(* &quot;-&quot;??_);_(@_)"/>
    <numFmt numFmtId="166" formatCode="_ * #,##0_ ;_ * \-#,##0_ ;_ * &quot;-&quot;??_ ;_ @_ "/>
    <numFmt numFmtId="167" formatCode="_(* #,##0_);_(* \(#,##0\);_(* &quot;-&quot;??_);_(@_)"/>
    <numFmt numFmtId="168" formatCode="_(* #,##0.000_);_(* \(#,##0.000\);_(* &quot;-&quot;??_);_(@_)"/>
    <numFmt numFmtId="169" formatCode="0.0000%"/>
    <numFmt numFmtId="170" formatCode="_ * #,##0_ ;_ * \(#,##0\)_ ;_ * &quot;-&quot;_ ;_ @_ "/>
    <numFmt numFmtId="171" formatCode="0.0%"/>
    <numFmt numFmtId="172" formatCode="&quot;₪&quot;#,##0_);[Red]\(&quot;₪&quot;#,##0\)"/>
    <numFmt numFmtId="173" formatCode="&quot;₪&quot;\ #,##0.00;[Red]&quot;₪&quot;\ #,##0.00"/>
    <numFmt numFmtId="174" formatCode="&quot;₪&quot;\ #,##0.0;[Red]&quot;₪&quot;\ #,##0.0"/>
  </numFmts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name val="Arial"/>
      <family val="2"/>
    </font>
    <font>
      <sz val="10"/>
      <name val="Arial"/>
      <charset val="177"/>
    </font>
    <font>
      <b/>
      <u/>
      <sz val="10"/>
      <name val="Arial"/>
      <family val="2"/>
    </font>
    <font>
      <sz val="12"/>
      <color theme="1"/>
      <name val="Times New Roman"/>
      <family val="1"/>
      <scheme val="major"/>
    </font>
    <font>
      <sz val="10"/>
      <name val="Times New Roman"/>
      <family val="1"/>
      <scheme val="major"/>
    </font>
    <font>
      <sz val="12"/>
      <name val="Times New Roman"/>
      <family val="1"/>
      <scheme val="major"/>
    </font>
    <font>
      <b/>
      <u/>
      <sz val="12"/>
      <name val="Times New Roman"/>
      <family val="1"/>
      <scheme val="major"/>
    </font>
    <font>
      <u/>
      <sz val="12"/>
      <name val="Times New Roman"/>
      <family val="1"/>
      <scheme val="major"/>
    </font>
    <font>
      <u/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2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7" fillId="0" borderId="0"/>
  </cellStyleXfs>
  <cellXfs count="17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0" fillId="4" borderId="0" xfId="0" applyFill="1"/>
    <xf numFmtId="166" fontId="0" fillId="0" borderId="0" xfId="1" applyNumberFormat="1" applyFont="1"/>
    <xf numFmtId="166" fontId="0" fillId="4" borderId="0" xfId="1" applyNumberFormat="1" applyFont="1" applyFill="1"/>
    <xf numFmtId="0" fontId="0" fillId="3" borderId="0" xfId="0" applyFill="1"/>
    <xf numFmtId="166" fontId="0" fillId="0" borderId="0" xfId="0" applyNumberFormat="1"/>
    <xf numFmtId="9" fontId="3" fillId="0" borderId="0" xfId="0" applyNumberFormat="1" applyFont="1" applyAlignment="1">
      <alignment horizontal="center"/>
    </xf>
    <xf numFmtId="0" fontId="2" fillId="5" borderId="0" xfId="0" applyFont="1" applyFill="1"/>
    <xf numFmtId="0" fontId="0" fillId="5" borderId="0" xfId="0" applyFill="1"/>
    <xf numFmtId="0" fontId="4" fillId="3" borderId="0" xfId="0" applyFont="1" applyFill="1" applyAlignment="1">
      <alignment horizontal="center"/>
    </xf>
    <xf numFmtId="0" fontId="4" fillId="0" borderId="0" xfId="0" applyFont="1"/>
    <xf numFmtId="9" fontId="0" fillId="0" borderId="0" xfId="0" applyNumberFormat="1"/>
    <xf numFmtId="9" fontId="0" fillId="4" borderId="0" xfId="0" applyNumberFormat="1" applyFill="1"/>
    <xf numFmtId="0" fontId="0" fillId="0" borderId="0" xfId="0" applyFill="1"/>
    <xf numFmtId="166" fontId="0" fillId="0" borderId="0" xfId="1" applyNumberFormat="1" applyFont="1" applyFill="1"/>
    <xf numFmtId="166" fontId="0" fillId="0" borderId="0" xfId="0" applyNumberFormat="1" applyFill="1"/>
    <xf numFmtId="0" fontId="6" fillId="0" borderId="0" xfId="2" applyFont="1"/>
    <xf numFmtId="0" fontId="5" fillId="0" borderId="0" xfId="2"/>
    <xf numFmtId="0" fontId="5" fillId="0" borderId="0" xfId="2" applyFill="1"/>
    <xf numFmtId="167" fontId="5" fillId="0" borderId="0" xfId="2" applyNumberFormat="1" applyFill="1"/>
    <xf numFmtId="0" fontId="6" fillId="0" borderId="0" xfId="2" applyFont="1" applyFill="1"/>
    <xf numFmtId="0" fontId="5" fillId="0" borderId="0" xfId="3" applyFont="1" applyFill="1"/>
    <xf numFmtId="0" fontId="5" fillId="0" borderId="0" xfId="2" quotePrefix="1" applyFill="1"/>
    <xf numFmtId="43" fontId="5" fillId="0" borderId="0" xfId="2" applyNumberFormat="1" applyFill="1"/>
    <xf numFmtId="0" fontId="5" fillId="0" borderId="0" xfId="2" applyFont="1" applyFill="1"/>
    <xf numFmtId="0" fontId="7" fillId="0" borderId="0" xfId="2" applyFont="1" applyFill="1"/>
    <xf numFmtId="167" fontId="6" fillId="0" borderId="0" xfId="2" applyNumberFormat="1" applyFont="1" applyFill="1"/>
    <xf numFmtId="0" fontId="5" fillId="0" borderId="0" xfId="4" applyFont="1"/>
    <xf numFmtId="167" fontId="5" fillId="0" borderId="0" xfId="4" applyNumberFormat="1"/>
    <xf numFmtId="0" fontId="5" fillId="0" borderId="0" xfId="4"/>
    <xf numFmtId="0" fontId="5" fillId="0" borderId="0" xfId="4" quotePrefix="1" applyFont="1"/>
    <xf numFmtId="167" fontId="6" fillId="0" borderId="0" xfId="2" applyNumberFormat="1" applyFont="1"/>
    <xf numFmtId="167" fontId="5" fillId="0" borderId="0" xfId="2" applyNumberFormat="1"/>
    <xf numFmtId="0" fontId="5" fillId="0" borderId="0" xfId="2" quotePrefix="1"/>
    <xf numFmtId="0" fontId="6" fillId="0" borderId="0" xfId="2" quotePrefix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0" xfId="4" applyFont="1" applyAlignment="1">
      <alignment readingOrder="2"/>
    </xf>
    <xf numFmtId="0" fontId="5" fillId="0" borderId="0" xfId="2" applyFont="1"/>
    <xf numFmtId="0" fontId="5" fillId="0" borderId="0" xfId="3" applyFont="1"/>
    <xf numFmtId="0" fontId="6" fillId="0" borderId="0" xfId="2" applyFont="1" applyFill="1" applyAlignment="1"/>
    <xf numFmtId="0" fontId="5" fillId="0" borderId="0" xfId="4" applyAlignment="1">
      <alignment readingOrder="2"/>
    </xf>
    <xf numFmtId="0" fontId="8" fillId="0" borderId="0" xfId="2" applyFont="1" applyFill="1"/>
    <xf numFmtId="167" fontId="5" fillId="0" borderId="1" xfId="2" applyNumberFormat="1" applyFill="1" applyBorder="1"/>
    <xf numFmtId="0" fontId="6" fillId="0" borderId="0" xfId="5" applyFont="1" applyFill="1"/>
    <xf numFmtId="3" fontId="5" fillId="0" borderId="0" xfId="3" applyNumberFormat="1" applyFill="1"/>
    <xf numFmtId="0" fontId="5" fillId="0" borderId="0" xfId="3" applyFill="1"/>
    <xf numFmtId="0" fontId="9" fillId="0" borderId="0" xfId="3" applyFont="1" applyFill="1"/>
    <xf numFmtId="0" fontId="5" fillId="0" borderId="0" xfId="5" applyFill="1"/>
    <xf numFmtId="17" fontId="7" fillId="0" borderId="0" xfId="3" applyNumberFormat="1" applyFont="1" applyFill="1"/>
    <xf numFmtId="167" fontId="5" fillId="0" borderId="0" xfId="5" quotePrefix="1" applyNumberFormat="1" applyFont="1" applyFill="1"/>
    <xf numFmtId="0" fontId="7" fillId="0" borderId="0" xfId="3" applyFont="1" applyFill="1"/>
    <xf numFmtId="167" fontId="5" fillId="0" borderId="0" xfId="5" applyNumberFormat="1" applyFill="1"/>
    <xf numFmtId="168" fontId="5" fillId="0" borderId="0" xfId="2" applyNumberFormat="1"/>
    <xf numFmtId="165" fontId="6" fillId="0" borderId="0" xfId="2" applyNumberFormat="1" applyFont="1"/>
    <xf numFmtId="164" fontId="5" fillId="0" borderId="0" xfId="2" applyNumberFormat="1"/>
    <xf numFmtId="165" fontId="5" fillId="0" borderId="0" xfId="2" applyNumberFormat="1"/>
    <xf numFmtId="169" fontId="5" fillId="0" borderId="0" xfId="5" applyNumberFormat="1" applyFill="1"/>
    <xf numFmtId="0" fontId="5" fillId="0" borderId="0" xfId="5" applyFont="1"/>
    <xf numFmtId="1" fontId="5" fillId="0" borderId="0" xfId="5" quotePrefix="1" applyNumberFormat="1" applyFont="1"/>
    <xf numFmtId="1" fontId="5" fillId="0" borderId="0" xfId="5" applyNumberFormat="1"/>
    <xf numFmtId="0" fontId="5" fillId="0" borderId="0" xfId="5"/>
    <xf numFmtId="0" fontId="5" fillId="0" borderId="0" xfId="5" quotePrefix="1" applyFont="1"/>
    <xf numFmtId="1" fontId="5" fillId="0" borderId="0" xfId="5" applyNumberFormat="1" applyFill="1"/>
    <xf numFmtId="167" fontId="7" fillId="0" borderId="0" xfId="5" applyNumberFormat="1" applyFont="1" applyFill="1"/>
    <xf numFmtId="164" fontId="5" fillId="0" borderId="0" xfId="5" quotePrefix="1" applyNumberFormat="1" applyFont="1"/>
    <xf numFmtId="167" fontId="6" fillId="0" borderId="0" xfId="5" applyNumberFormat="1" applyFont="1" applyFill="1"/>
    <xf numFmtId="0" fontId="5" fillId="0" borderId="0" xfId="5" quotePrefix="1" applyFont="1" applyFill="1"/>
    <xf numFmtId="167" fontId="5" fillId="0" borderId="0" xfId="5" applyNumberFormat="1"/>
    <xf numFmtId="0" fontId="6" fillId="0" borderId="0" xfId="5" applyFont="1"/>
    <xf numFmtId="0" fontId="6" fillId="0" borderId="0" xfId="4" applyFont="1"/>
    <xf numFmtId="0" fontId="8" fillId="0" borderId="0" xfId="4" applyFont="1"/>
    <xf numFmtId="0" fontId="7" fillId="0" borderId="0" xfId="4" applyFont="1"/>
    <xf numFmtId="0" fontId="5" fillId="0" borderId="0" xfId="4" quotePrefix="1"/>
    <xf numFmtId="3" fontId="5" fillId="0" borderId="0" xfId="4" applyNumberFormat="1"/>
    <xf numFmtId="0" fontId="5" fillId="0" borderId="0" xfId="2" applyAlignment="1">
      <alignment horizontal="right"/>
    </xf>
    <xf numFmtId="0" fontId="5" fillId="0" borderId="0" xfId="2" applyAlignment="1">
      <alignment horizontal="center"/>
    </xf>
    <xf numFmtId="170" fontId="5" fillId="0" borderId="0" xfId="2" applyNumberFormat="1"/>
    <xf numFmtId="9" fontId="5" fillId="0" borderId="0" xfId="2" applyNumberFormat="1"/>
    <xf numFmtId="0" fontId="6" fillId="0" borderId="0" xfId="2" applyFont="1" applyFill="1" applyAlignment="1">
      <alignment readingOrder="2"/>
    </xf>
    <xf numFmtId="9" fontId="0" fillId="0" borderId="0" xfId="6" applyFont="1" applyFill="1"/>
    <xf numFmtId="3" fontId="5" fillId="0" borderId="0" xfId="2" applyNumberFormat="1" applyFill="1"/>
    <xf numFmtId="0" fontId="9" fillId="0" borderId="0" xfId="2" applyFont="1" applyFill="1"/>
    <xf numFmtId="0" fontId="5" fillId="0" borderId="1" xfId="2" applyFont="1" applyFill="1" applyBorder="1"/>
    <xf numFmtId="3" fontId="7" fillId="0" borderId="0" xfId="7" applyNumberFormat="1" applyFont="1" applyFill="1" applyBorder="1"/>
    <xf numFmtId="3" fontId="11" fillId="0" borderId="0" xfId="7" applyNumberFormat="1" applyFont="1" applyFill="1" applyBorder="1"/>
    <xf numFmtId="3" fontId="7" fillId="0" borderId="0" xfId="7" applyNumberFormat="1" applyFont="1" applyFill="1" applyBorder="1" applyAlignment="1">
      <alignment horizontal="center"/>
    </xf>
    <xf numFmtId="3" fontId="7" fillId="0" borderId="0" xfId="7" quotePrefix="1" applyNumberFormat="1" applyFont="1" applyFill="1" applyBorder="1"/>
    <xf numFmtId="171" fontId="7" fillId="0" borderId="0" xfId="7" applyNumberFormat="1" applyFont="1" applyFill="1" applyBorder="1" applyAlignment="1">
      <alignment horizontal="center"/>
    </xf>
    <xf numFmtId="3" fontId="11" fillId="0" borderId="0" xfId="7" applyNumberFormat="1" applyFont="1" applyFill="1" applyBorder="1" applyAlignment="1">
      <alignment horizontal="right"/>
    </xf>
    <xf numFmtId="3" fontId="11" fillId="0" borderId="0" xfId="7" applyNumberFormat="1" applyFont="1" applyFill="1" applyBorder="1" applyAlignment="1">
      <alignment horizontal="center"/>
    </xf>
    <xf numFmtId="4" fontId="7" fillId="0" borderId="0" xfId="7" applyNumberFormat="1" applyFont="1" applyFill="1" applyBorder="1"/>
    <xf numFmtId="3" fontId="6" fillId="0" borderId="0" xfId="7" quotePrefix="1" applyNumberFormat="1" applyFont="1" applyFill="1" applyBorder="1" applyAlignment="1">
      <alignment horizontal="center"/>
    </xf>
    <xf numFmtId="2" fontId="7" fillId="0" borderId="0" xfId="7" applyNumberFormat="1" applyFont="1" applyFill="1" applyBorder="1"/>
    <xf numFmtId="3" fontId="7" fillId="0" borderId="1" xfId="7" applyNumberFormat="1" applyFont="1" applyFill="1" applyBorder="1"/>
    <xf numFmtId="3" fontId="9" fillId="0" borderId="0" xfId="7" applyNumberFormat="1" applyFont="1" applyFill="1" applyBorder="1"/>
    <xf numFmtId="3" fontId="7" fillId="0" borderId="1" xfId="7" applyNumberFormat="1" applyFont="1" applyFill="1" applyBorder="1" applyAlignment="1">
      <alignment horizontal="center"/>
    </xf>
    <xf numFmtId="3" fontId="7" fillId="0" borderId="0" xfId="7" quotePrefix="1" applyNumberFormat="1" applyFont="1" applyFill="1" applyBorder="1" applyAlignment="1">
      <alignment horizontal="center"/>
    </xf>
    <xf numFmtId="3" fontId="7" fillId="0" borderId="0" xfId="7" quotePrefix="1" applyNumberFormat="1" applyFont="1" applyFill="1" applyBorder="1" applyAlignment="1">
      <alignment horizontal="right"/>
    </xf>
    <xf numFmtId="4" fontId="6" fillId="0" borderId="0" xfId="7" applyNumberFormat="1" applyFont="1" applyFill="1" applyBorder="1" applyAlignment="1">
      <alignment horizontal="center"/>
    </xf>
    <xf numFmtId="4" fontId="7" fillId="2" borderId="0" xfId="7" applyNumberFormat="1" applyFont="1" applyFill="1" applyBorder="1"/>
    <xf numFmtId="3" fontId="6" fillId="0" borderId="0" xfId="7" applyNumberFormat="1" applyFont="1" applyFill="1" applyBorder="1" applyAlignment="1">
      <alignment horizontal="center"/>
    </xf>
    <xf numFmtId="3" fontId="7" fillId="0" borderId="0" xfId="7" applyNumberFormat="1" applyFont="1" applyFill="1" applyBorder="1" applyAlignment="1">
      <alignment horizontal="right"/>
    </xf>
    <xf numFmtId="2" fontId="6" fillId="2" borderId="0" xfId="7" applyNumberFormat="1" applyFont="1" applyFill="1" applyBorder="1"/>
    <xf numFmtId="1" fontId="11" fillId="0" borderId="0" xfId="7" applyNumberFormat="1" applyFont="1" applyFill="1" applyBorder="1"/>
    <xf numFmtId="3" fontId="7" fillId="2" borderId="0" xfId="7" applyNumberFormat="1" applyFont="1" applyFill="1" applyBorder="1"/>
    <xf numFmtId="3" fontId="11" fillId="0" borderId="0" xfId="7" quotePrefix="1" applyNumberFormat="1" applyFont="1" applyFill="1" applyBorder="1"/>
    <xf numFmtId="14" fontId="0" fillId="0" borderId="0" xfId="0" applyNumberFormat="1" applyFont="1" applyBorder="1" applyAlignment="1">
      <alignment readingOrder="2"/>
    </xf>
    <xf numFmtId="172" fontId="12" fillId="0" borderId="0" xfId="0" applyNumberFormat="1" applyFont="1" applyBorder="1" applyAlignment="1">
      <alignment horizontal="center" vertical="center" readingOrder="1"/>
    </xf>
    <xf numFmtId="0" fontId="13" fillId="0" borderId="0" xfId="9" applyFont="1" applyBorder="1" applyAlignment="1">
      <alignment horizontal="right"/>
    </xf>
    <xf numFmtId="0" fontId="14" fillId="0" borderId="0" xfId="9" applyFont="1" applyBorder="1" applyAlignment="1"/>
    <xf numFmtId="14" fontId="15" fillId="0" borderId="0" xfId="9" applyNumberFormat="1" applyFont="1" applyBorder="1" applyAlignment="1">
      <alignment horizontal="right" readingOrder="2"/>
    </xf>
    <xf numFmtId="14" fontId="14" fillId="0" borderId="0" xfId="9" applyNumberFormat="1" applyFont="1" applyBorder="1" applyAlignment="1">
      <alignment horizontal="right" readingOrder="2"/>
    </xf>
    <xf numFmtId="14" fontId="16" fillId="0" borderId="0" xfId="9" applyNumberFormat="1" applyFont="1" applyBorder="1" applyAlignment="1">
      <alignment horizontal="right" readingOrder="2"/>
    </xf>
    <xf numFmtId="14" fontId="14" fillId="0" borderId="2" xfId="9" applyNumberFormat="1" applyFont="1" applyBorder="1" applyAlignment="1">
      <alignment horizontal="right" readingOrder="2"/>
    </xf>
    <xf numFmtId="172" fontId="12" fillId="0" borderId="2" xfId="0" applyNumberFormat="1" applyFont="1" applyBorder="1" applyAlignment="1">
      <alignment horizontal="center" vertical="center" readingOrder="1"/>
    </xf>
    <xf numFmtId="14" fontId="14" fillId="0" borderId="3" xfId="9" applyNumberFormat="1" applyFont="1" applyBorder="1" applyAlignment="1">
      <alignment horizontal="right" readingOrder="2"/>
    </xf>
    <xf numFmtId="172" fontId="12" fillId="0" borderId="3" xfId="0" applyNumberFormat="1" applyFont="1" applyBorder="1" applyAlignment="1">
      <alignment horizontal="center" vertical="center" readingOrder="1"/>
    </xf>
    <xf numFmtId="14" fontId="17" fillId="0" borderId="0" xfId="0" applyNumberFormat="1" applyFont="1" applyBorder="1" applyAlignment="1">
      <alignment horizontal="center" vertical="center" readingOrder="1"/>
    </xf>
    <xf numFmtId="0" fontId="14" fillId="0" borderId="0" xfId="9" applyFont="1" applyBorder="1" applyAlignment="1">
      <alignment horizontal="right" readingOrder="2"/>
    </xf>
    <xf numFmtId="0" fontId="14" fillId="0" borderId="3" xfId="9" applyFont="1" applyBorder="1" applyAlignment="1">
      <alignment horizontal="right" readingOrder="2"/>
    </xf>
    <xf numFmtId="172" fontId="18" fillId="0" borderId="0" xfId="0" applyNumberFormat="1" applyFont="1" applyBorder="1" applyAlignment="1">
      <alignment horizontal="center" vertical="center" readingOrder="2"/>
    </xf>
    <xf numFmtId="172" fontId="18" fillId="6" borderId="0" xfId="0" applyNumberFormat="1" applyFont="1" applyFill="1" applyBorder="1" applyAlignment="1">
      <alignment horizontal="center" vertical="center" readingOrder="1"/>
    </xf>
    <xf numFmtId="0" fontId="15" fillId="0" borderId="0" xfId="9" applyFont="1" applyBorder="1" applyAlignment="1">
      <alignment horizontal="right" readingOrder="2"/>
    </xf>
    <xf numFmtId="0" fontId="14" fillId="0" borderId="2" xfId="9" applyFont="1" applyBorder="1" applyAlignment="1">
      <alignment horizontal="right" readingOrder="2"/>
    </xf>
    <xf numFmtId="0" fontId="13" fillId="2" borderId="0" xfId="9" applyFont="1" applyFill="1" applyBorder="1" applyAlignment="1">
      <alignment horizontal="right"/>
    </xf>
    <xf numFmtId="14" fontId="19" fillId="0" borderId="0" xfId="9" applyNumberFormat="1" applyFont="1" applyBorder="1" applyAlignment="1">
      <alignment horizontal="right" readingOrder="2"/>
    </xf>
    <xf numFmtId="172" fontId="17" fillId="0" borderId="0" xfId="0" applyNumberFormat="1" applyFont="1" applyBorder="1" applyAlignment="1">
      <alignment horizontal="center" vertical="center" readingOrder="2"/>
    </xf>
    <xf numFmtId="172" fontId="12" fillId="0" borderId="0" xfId="0" applyNumberFormat="1" applyFont="1" applyBorder="1" applyAlignment="1">
      <alignment horizontal="center" vertical="center" readingOrder="2"/>
    </xf>
    <xf numFmtId="0" fontId="19" fillId="7" borderId="0" xfId="9" applyFont="1" applyFill="1" applyBorder="1" applyAlignment="1">
      <alignment horizontal="right" readingOrder="2"/>
    </xf>
    <xf numFmtId="172" fontId="17" fillId="7" borderId="0" xfId="0" applyNumberFormat="1" applyFont="1" applyFill="1" applyBorder="1" applyAlignment="1">
      <alignment horizontal="center" vertical="center" readingOrder="1"/>
    </xf>
    <xf numFmtId="0" fontId="14" fillId="7" borderId="0" xfId="9" applyFont="1" applyFill="1" applyBorder="1" applyAlignment="1">
      <alignment horizontal="right" readingOrder="2"/>
    </xf>
    <xf numFmtId="172" fontId="12" fillId="7" borderId="0" xfId="0" applyNumberFormat="1" applyFont="1" applyFill="1" applyBorder="1" applyAlignment="1">
      <alignment horizontal="center" vertical="center" readingOrder="1"/>
    </xf>
    <xf numFmtId="14" fontId="14" fillId="7" borderId="0" xfId="9" applyNumberFormat="1" applyFont="1" applyFill="1" applyBorder="1" applyAlignment="1">
      <alignment horizontal="left" readingOrder="2"/>
    </xf>
    <xf numFmtId="9" fontId="12" fillId="0" borderId="0" xfId="8" applyFont="1" applyBorder="1" applyAlignment="1">
      <alignment horizontal="center" vertical="center" readingOrder="1"/>
    </xf>
    <xf numFmtId="14" fontId="14" fillId="7" borderId="0" xfId="9" applyNumberFormat="1" applyFont="1" applyFill="1" applyBorder="1" applyAlignment="1">
      <alignment horizontal="right" readingOrder="2"/>
    </xf>
    <xf numFmtId="172" fontId="13" fillId="0" borderId="0" xfId="9" applyNumberFormat="1" applyFont="1" applyBorder="1" applyAlignment="1">
      <alignment horizontal="right"/>
    </xf>
    <xf numFmtId="173" fontId="13" fillId="0" borderId="0" xfId="9" applyNumberFormat="1" applyFont="1" applyBorder="1" applyAlignment="1">
      <alignment horizontal="right"/>
    </xf>
    <xf numFmtId="0" fontId="14" fillId="7" borderId="0" xfId="9" applyFont="1" applyFill="1" applyBorder="1" applyAlignment="1">
      <alignment horizontal="left" readingOrder="2"/>
    </xf>
    <xf numFmtId="0" fontId="16" fillId="0" borderId="0" xfId="9" applyFont="1" applyBorder="1" applyAlignment="1">
      <alignment horizontal="right" readingOrder="2"/>
    </xf>
    <xf numFmtId="0" fontId="19" fillId="0" borderId="0" xfId="9" applyFont="1" applyBorder="1" applyAlignment="1">
      <alignment horizontal="right" readingOrder="2"/>
    </xf>
    <xf numFmtId="0" fontId="19" fillId="2" borderId="0" xfId="9" applyFont="1" applyFill="1" applyBorder="1" applyAlignment="1">
      <alignment horizontal="right" readingOrder="2"/>
    </xf>
    <xf numFmtId="172" fontId="17" fillId="2" borderId="0" xfId="0" applyNumberFormat="1" applyFont="1" applyFill="1" applyBorder="1" applyAlignment="1">
      <alignment horizontal="center" vertical="center" readingOrder="1"/>
    </xf>
    <xf numFmtId="14" fontId="14" fillId="2" borderId="0" xfId="9" applyNumberFormat="1" applyFont="1" applyFill="1" applyBorder="1" applyAlignment="1">
      <alignment horizontal="right" readingOrder="2"/>
    </xf>
    <xf numFmtId="172" fontId="12" fillId="2" borderId="0" xfId="0" applyNumberFormat="1" applyFont="1" applyFill="1" applyBorder="1" applyAlignment="1">
      <alignment horizontal="center" vertical="center" readingOrder="1"/>
    </xf>
    <xf numFmtId="14" fontId="14" fillId="2" borderId="0" xfId="9" applyNumberFormat="1" applyFont="1" applyFill="1" applyBorder="1" applyAlignment="1">
      <alignment horizontal="left" readingOrder="2"/>
    </xf>
    <xf numFmtId="172" fontId="18" fillId="0" borderId="0" xfId="0" applyNumberFormat="1" applyFont="1" applyBorder="1" applyAlignment="1">
      <alignment horizontal="center" vertical="center" readingOrder="1"/>
    </xf>
    <xf numFmtId="172" fontId="12" fillId="2" borderId="2" xfId="0" applyNumberFormat="1" applyFont="1" applyFill="1" applyBorder="1" applyAlignment="1">
      <alignment horizontal="center" vertical="center" readingOrder="1"/>
    </xf>
    <xf numFmtId="172" fontId="12" fillId="2" borderId="3" xfId="0" applyNumberFormat="1" applyFont="1" applyFill="1" applyBorder="1" applyAlignment="1">
      <alignment horizontal="center" vertical="center" readingOrder="1"/>
    </xf>
    <xf numFmtId="14" fontId="17" fillId="2" borderId="0" xfId="0" applyNumberFormat="1" applyFont="1" applyFill="1" applyBorder="1" applyAlignment="1">
      <alignment horizontal="center" vertical="center" readingOrder="1"/>
    </xf>
    <xf numFmtId="0" fontId="19" fillId="8" borderId="0" xfId="9" applyFont="1" applyFill="1" applyBorder="1" applyAlignment="1">
      <alignment horizontal="right" readingOrder="2"/>
    </xf>
    <xf numFmtId="172" fontId="17" fillId="8" borderId="0" xfId="0" applyNumberFormat="1" applyFont="1" applyFill="1" applyBorder="1" applyAlignment="1">
      <alignment horizontal="center" vertical="center" readingOrder="1"/>
    </xf>
    <xf numFmtId="0" fontId="14" fillId="8" borderId="0" xfId="9" applyFont="1" applyFill="1" applyBorder="1" applyAlignment="1">
      <alignment horizontal="right" readingOrder="2"/>
    </xf>
    <xf numFmtId="172" fontId="12" fillId="8" borderId="0" xfId="0" applyNumberFormat="1" applyFont="1" applyFill="1" applyBorder="1" applyAlignment="1">
      <alignment horizontal="center" vertical="center" readingOrder="1"/>
    </xf>
    <xf numFmtId="14" fontId="14" fillId="8" borderId="0" xfId="9" applyNumberFormat="1" applyFont="1" applyFill="1" applyBorder="1" applyAlignment="1">
      <alignment horizontal="right" readingOrder="2"/>
    </xf>
    <xf numFmtId="0" fontId="5" fillId="0" borderId="0" xfId="2" applyBorder="1"/>
    <xf numFmtId="167" fontId="5" fillId="0" borderId="0" xfId="2" applyNumberFormat="1" applyFill="1" applyBorder="1"/>
    <xf numFmtId="0" fontId="5" fillId="0" borderId="0" xfId="2" quotePrefix="1" applyBorder="1"/>
    <xf numFmtId="0" fontId="6" fillId="0" borderId="0" xfId="2" applyFont="1" applyBorder="1"/>
    <xf numFmtId="167" fontId="5" fillId="0" borderId="4" xfId="2" applyNumberFormat="1" applyFill="1" applyBorder="1"/>
    <xf numFmtId="0" fontId="7" fillId="0" borderId="0" xfId="2" applyFont="1"/>
    <xf numFmtId="0" fontId="9" fillId="0" borderId="0" xfId="4" applyFont="1"/>
    <xf numFmtId="0" fontId="0" fillId="0" borderId="0" xfId="0" applyAlignment="1">
      <alignment horizontal="right"/>
    </xf>
    <xf numFmtId="170" fontId="0" fillId="0" borderId="0" xfId="0" applyNumberFormat="1"/>
    <xf numFmtId="0" fontId="7" fillId="0" borderId="0" xfId="0" quotePrefix="1" applyFont="1"/>
    <xf numFmtId="174" fontId="14" fillId="0" borderId="0" xfId="9" applyNumberFormat="1" applyFont="1" applyBorder="1" applyAlignment="1"/>
  </cellXfs>
  <cellStyles count="10">
    <cellStyle name="Comma" xfId="1" builtinId="3"/>
    <cellStyle name="Normal" xfId="0" builtinId="0"/>
    <cellStyle name="Normal 2" xfId="2"/>
    <cellStyle name="Normal 2 2" xfId="4"/>
    <cellStyle name="Normal 2 3" xfId="9"/>
    <cellStyle name="Normal 2_מועד_ג_תשעא_יאס12" xfId="3"/>
    <cellStyle name="Normal 3" xfId="7"/>
    <cellStyle name="Normal_מועד_ג_תשעא_יאס12" xfId="5"/>
    <cellStyle name="Percent" xfId="8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rightToLeft="1" topLeftCell="A73" zoomScaleNormal="100" workbookViewId="0">
      <selection activeCell="A7" sqref="A7"/>
    </sheetView>
  </sheetViews>
  <sheetFormatPr defaultRowHeight="12.75"/>
  <cols>
    <col min="1" max="1" width="51.125" style="22" customWidth="1"/>
    <col min="2" max="2" width="14" style="22" bestFit="1" customWidth="1"/>
    <col min="3" max="3" width="14.625" style="22" bestFit="1" customWidth="1"/>
    <col min="4" max="4" width="15.25" style="22" bestFit="1" customWidth="1"/>
    <col min="5" max="5" width="9" style="22" bestFit="1" customWidth="1"/>
    <col min="6" max="6" width="9.5" style="22" bestFit="1" customWidth="1"/>
    <col min="7" max="7" width="8.875" style="22" customWidth="1"/>
    <col min="8" max="8" width="8.125" style="22" bestFit="1" customWidth="1"/>
    <col min="9" max="9" width="5.875" style="22" customWidth="1"/>
    <col min="10" max="10" width="18.25" style="22" bestFit="1" customWidth="1"/>
    <col min="11" max="11" width="28.625" style="22" bestFit="1" customWidth="1"/>
    <col min="12" max="12" width="9" style="22"/>
    <col min="13" max="13" width="8.625" style="22" bestFit="1" customWidth="1"/>
    <col min="14" max="256" width="9" style="22"/>
    <col min="257" max="257" width="51.125" style="22" customWidth="1"/>
    <col min="258" max="258" width="14" style="22" bestFit="1" customWidth="1"/>
    <col min="259" max="259" width="14.625" style="22" bestFit="1" customWidth="1"/>
    <col min="260" max="260" width="15.25" style="22" bestFit="1" customWidth="1"/>
    <col min="261" max="261" width="9" style="22" bestFit="1" customWidth="1"/>
    <col min="262" max="262" width="9.5" style="22" bestFit="1" customWidth="1"/>
    <col min="263" max="263" width="8.875" style="22" customWidth="1"/>
    <col min="264" max="264" width="8.125" style="22" bestFit="1" customWidth="1"/>
    <col min="265" max="265" width="5.875" style="22" customWidth="1"/>
    <col min="266" max="266" width="18.25" style="22" bestFit="1" customWidth="1"/>
    <col min="267" max="267" width="28.625" style="22" bestFit="1" customWidth="1"/>
    <col min="268" max="268" width="9" style="22"/>
    <col min="269" max="269" width="8.625" style="22" bestFit="1" customWidth="1"/>
    <col min="270" max="512" width="9" style="22"/>
    <col min="513" max="513" width="51.125" style="22" customWidth="1"/>
    <col min="514" max="514" width="14" style="22" bestFit="1" customWidth="1"/>
    <col min="515" max="515" width="14.625" style="22" bestFit="1" customWidth="1"/>
    <col min="516" max="516" width="15.25" style="22" bestFit="1" customWidth="1"/>
    <col min="517" max="517" width="9" style="22" bestFit="1" customWidth="1"/>
    <col min="518" max="518" width="9.5" style="22" bestFit="1" customWidth="1"/>
    <col min="519" max="519" width="8.875" style="22" customWidth="1"/>
    <col min="520" max="520" width="8.125" style="22" bestFit="1" customWidth="1"/>
    <col min="521" max="521" width="5.875" style="22" customWidth="1"/>
    <col min="522" max="522" width="18.25" style="22" bestFit="1" customWidth="1"/>
    <col min="523" max="523" width="28.625" style="22" bestFit="1" customWidth="1"/>
    <col min="524" max="524" width="9" style="22"/>
    <col min="525" max="525" width="8.625" style="22" bestFit="1" customWidth="1"/>
    <col min="526" max="768" width="9" style="22"/>
    <col min="769" max="769" width="51.125" style="22" customWidth="1"/>
    <col min="770" max="770" width="14" style="22" bestFit="1" customWidth="1"/>
    <col min="771" max="771" width="14.625" style="22" bestFit="1" customWidth="1"/>
    <col min="772" max="772" width="15.25" style="22" bestFit="1" customWidth="1"/>
    <col min="773" max="773" width="9" style="22" bestFit="1" customWidth="1"/>
    <col min="774" max="774" width="9.5" style="22" bestFit="1" customWidth="1"/>
    <col min="775" max="775" width="8.875" style="22" customWidth="1"/>
    <col min="776" max="776" width="8.125" style="22" bestFit="1" customWidth="1"/>
    <col min="777" max="777" width="5.875" style="22" customWidth="1"/>
    <col min="778" max="778" width="18.25" style="22" bestFit="1" customWidth="1"/>
    <col min="779" max="779" width="28.625" style="22" bestFit="1" customWidth="1"/>
    <col min="780" max="780" width="9" style="22"/>
    <col min="781" max="781" width="8.625" style="22" bestFit="1" customWidth="1"/>
    <col min="782" max="1024" width="9" style="22"/>
    <col min="1025" max="1025" width="51.125" style="22" customWidth="1"/>
    <col min="1026" max="1026" width="14" style="22" bestFit="1" customWidth="1"/>
    <col min="1027" max="1027" width="14.625" style="22" bestFit="1" customWidth="1"/>
    <col min="1028" max="1028" width="15.25" style="22" bestFit="1" customWidth="1"/>
    <col min="1029" max="1029" width="9" style="22" bestFit="1" customWidth="1"/>
    <col min="1030" max="1030" width="9.5" style="22" bestFit="1" customWidth="1"/>
    <col min="1031" max="1031" width="8.875" style="22" customWidth="1"/>
    <col min="1032" max="1032" width="8.125" style="22" bestFit="1" customWidth="1"/>
    <col min="1033" max="1033" width="5.875" style="22" customWidth="1"/>
    <col min="1034" max="1034" width="18.25" style="22" bestFit="1" customWidth="1"/>
    <col min="1035" max="1035" width="28.625" style="22" bestFit="1" customWidth="1"/>
    <col min="1036" max="1036" width="9" style="22"/>
    <col min="1037" max="1037" width="8.625" style="22" bestFit="1" customWidth="1"/>
    <col min="1038" max="1280" width="9" style="22"/>
    <col min="1281" max="1281" width="51.125" style="22" customWidth="1"/>
    <col min="1282" max="1282" width="14" style="22" bestFit="1" customWidth="1"/>
    <col min="1283" max="1283" width="14.625" style="22" bestFit="1" customWidth="1"/>
    <col min="1284" max="1284" width="15.25" style="22" bestFit="1" customWidth="1"/>
    <col min="1285" max="1285" width="9" style="22" bestFit="1" customWidth="1"/>
    <col min="1286" max="1286" width="9.5" style="22" bestFit="1" customWidth="1"/>
    <col min="1287" max="1287" width="8.875" style="22" customWidth="1"/>
    <col min="1288" max="1288" width="8.125" style="22" bestFit="1" customWidth="1"/>
    <col min="1289" max="1289" width="5.875" style="22" customWidth="1"/>
    <col min="1290" max="1290" width="18.25" style="22" bestFit="1" customWidth="1"/>
    <col min="1291" max="1291" width="28.625" style="22" bestFit="1" customWidth="1"/>
    <col min="1292" max="1292" width="9" style="22"/>
    <col min="1293" max="1293" width="8.625" style="22" bestFit="1" customWidth="1"/>
    <col min="1294" max="1536" width="9" style="22"/>
    <col min="1537" max="1537" width="51.125" style="22" customWidth="1"/>
    <col min="1538" max="1538" width="14" style="22" bestFit="1" customWidth="1"/>
    <col min="1539" max="1539" width="14.625" style="22" bestFit="1" customWidth="1"/>
    <col min="1540" max="1540" width="15.25" style="22" bestFit="1" customWidth="1"/>
    <col min="1541" max="1541" width="9" style="22" bestFit="1" customWidth="1"/>
    <col min="1542" max="1542" width="9.5" style="22" bestFit="1" customWidth="1"/>
    <col min="1543" max="1543" width="8.875" style="22" customWidth="1"/>
    <col min="1544" max="1544" width="8.125" style="22" bestFit="1" customWidth="1"/>
    <col min="1545" max="1545" width="5.875" style="22" customWidth="1"/>
    <col min="1546" max="1546" width="18.25" style="22" bestFit="1" customWidth="1"/>
    <col min="1547" max="1547" width="28.625" style="22" bestFit="1" customWidth="1"/>
    <col min="1548" max="1548" width="9" style="22"/>
    <col min="1549" max="1549" width="8.625" style="22" bestFit="1" customWidth="1"/>
    <col min="1550" max="1792" width="9" style="22"/>
    <col min="1793" max="1793" width="51.125" style="22" customWidth="1"/>
    <col min="1794" max="1794" width="14" style="22" bestFit="1" customWidth="1"/>
    <col min="1795" max="1795" width="14.625" style="22" bestFit="1" customWidth="1"/>
    <col min="1796" max="1796" width="15.25" style="22" bestFit="1" customWidth="1"/>
    <col min="1797" max="1797" width="9" style="22" bestFit="1" customWidth="1"/>
    <col min="1798" max="1798" width="9.5" style="22" bestFit="1" customWidth="1"/>
    <col min="1799" max="1799" width="8.875" style="22" customWidth="1"/>
    <col min="1800" max="1800" width="8.125" style="22" bestFit="1" customWidth="1"/>
    <col min="1801" max="1801" width="5.875" style="22" customWidth="1"/>
    <col min="1802" max="1802" width="18.25" style="22" bestFit="1" customWidth="1"/>
    <col min="1803" max="1803" width="28.625" style="22" bestFit="1" customWidth="1"/>
    <col min="1804" max="1804" width="9" style="22"/>
    <col min="1805" max="1805" width="8.625" style="22" bestFit="1" customWidth="1"/>
    <col min="1806" max="2048" width="9" style="22"/>
    <col min="2049" max="2049" width="51.125" style="22" customWidth="1"/>
    <col min="2050" max="2050" width="14" style="22" bestFit="1" customWidth="1"/>
    <col min="2051" max="2051" width="14.625" style="22" bestFit="1" customWidth="1"/>
    <col min="2052" max="2052" width="15.25" style="22" bestFit="1" customWidth="1"/>
    <col min="2053" max="2053" width="9" style="22" bestFit="1" customWidth="1"/>
    <col min="2054" max="2054" width="9.5" style="22" bestFit="1" customWidth="1"/>
    <col min="2055" max="2055" width="8.875" style="22" customWidth="1"/>
    <col min="2056" max="2056" width="8.125" style="22" bestFit="1" customWidth="1"/>
    <col min="2057" max="2057" width="5.875" style="22" customWidth="1"/>
    <col min="2058" max="2058" width="18.25" style="22" bestFit="1" customWidth="1"/>
    <col min="2059" max="2059" width="28.625" style="22" bestFit="1" customWidth="1"/>
    <col min="2060" max="2060" width="9" style="22"/>
    <col min="2061" max="2061" width="8.625" style="22" bestFit="1" customWidth="1"/>
    <col min="2062" max="2304" width="9" style="22"/>
    <col min="2305" max="2305" width="51.125" style="22" customWidth="1"/>
    <col min="2306" max="2306" width="14" style="22" bestFit="1" customWidth="1"/>
    <col min="2307" max="2307" width="14.625" style="22" bestFit="1" customWidth="1"/>
    <col min="2308" max="2308" width="15.25" style="22" bestFit="1" customWidth="1"/>
    <col min="2309" max="2309" width="9" style="22" bestFit="1" customWidth="1"/>
    <col min="2310" max="2310" width="9.5" style="22" bestFit="1" customWidth="1"/>
    <col min="2311" max="2311" width="8.875" style="22" customWidth="1"/>
    <col min="2312" max="2312" width="8.125" style="22" bestFit="1" customWidth="1"/>
    <col min="2313" max="2313" width="5.875" style="22" customWidth="1"/>
    <col min="2314" max="2314" width="18.25" style="22" bestFit="1" customWidth="1"/>
    <col min="2315" max="2315" width="28.625" style="22" bestFit="1" customWidth="1"/>
    <col min="2316" max="2316" width="9" style="22"/>
    <col min="2317" max="2317" width="8.625" style="22" bestFit="1" customWidth="1"/>
    <col min="2318" max="2560" width="9" style="22"/>
    <col min="2561" max="2561" width="51.125" style="22" customWidth="1"/>
    <col min="2562" max="2562" width="14" style="22" bestFit="1" customWidth="1"/>
    <col min="2563" max="2563" width="14.625" style="22" bestFit="1" customWidth="1"/>
    <col min="2564" max="2564" width="15.25" style="22" bestFit="1" customWidth="1"/>
    <col min="2565" max="2565" width="9" style="22" bestFit="1" customWidth="1"/>
    <col min="2566" max="2566" width="9.5" style="22" bestFit="1" customWidth="1"/>
    <col min="2567" max="2567" width="8.875" style="22" customWidth="1"/>
    <col min="2568" max="2568" width="8.125" style="22" bestFit="1" customWidth="1"/>
    <col min="2569" max="2569" width="5.875" style="22" customWidth="1"/>
    <col min="2570" max="2570" width="18.25" style="22" bestFit="1" customWidth="1"/>
    <col min="2571" max="2571" width="28.625" style="22" bestFit="1" customWidth="1"/>
    <col min="2572" max="2572" width="9" style="22"/>
    <col min="2573" max="2573" width="8.625" style="22" bestFit="1" customWidth="1"/>
    <col min="2574" max="2816" width="9" style="22"/>
    <col min="2817" max="2817" width="51.125" style="22" customWidth="1"/>
    <col min="2818" max="2818" width="14" style="22" bestFit="1" customWidth="1"/>
    <col min="2819" max="2819" width="14.625" style="22" bestFit="1" customWidth="1"/>
    <col min="2820" max="2820" width="15.25" style="22" bestFit="1" customWidth="1"/>
    <col min="2821" max="2821" width="9" style="22" bestFit="1" customWidth="1"/>
    <col min="2822" max="2822" width="9.5" style="22" bestFit="1" customWidth="1"/>
    <col min="2823" max="2823" width="8.875" style="22" customWidth="1"/>
    <col min="2824" max="2824" width="8.125" style="22" bestFit="1" customWidth="1"/>
    <col min="2825" max="2825" width="5.875" style="22" customWidth="1"/>
    <col min="2826" max="2826" width="18.25" style="22" bestFit="1" customWidth="1"/>
    <col min="2827" max="2827" width="28.625" style="22" bestFit="1" customWidth="1"/>
    <col min="2828" max="2828" width="9" style="22"/>
    <col min="2829" max="2829" width="8.625" style="22" bestFit="1" customWidth="1"/>
    <col min="2830" max="3072" width="9" style="22"/>
    <col min="3073" max="3073" width="51.125" style="22" customWidth="1"/>
    <col min="3074" max="3074" width="14" style="22" bestFit="1" customWidth="1"/>
    <col min="3075" max="3075" width="14.625" style="22" bestFit="1" customWidth="1"/>
    <col min="3076" max="3076" width="15.25" style="22" bestFit="1" customWidth="1"/>
    <col min="3077" max="3077" width="9" style="22" bestFit="1" customWidth="1"/>
    <col min="3078" max="3078" width="9.5" style="22" bestFit="1" customWidth="1"/>
    <col min="3079" max="3079" width="8.875" style="22" customWidth="1"/>
    <col min="3080" max="3080" width="8.125" style="22" bestFit="1" customWidth="1"/>
    <col min="3081" max="3081" width="5.875" style="22" customWidth="1"/>
    <col min="3082" max="3082" width="18.25" style="22" bestFit="1" customWidth="1"/>
    <col min="3083" max="3083" width="28.625" style="22" bestFit="1" customWidth="1"/>
    <col min="3084" max="3084" width="9" style="22"/>
    <col min="3085" max="3085" width="8.625" style="22" bestFit="1" customWidth="1"/>
    <col min="3086" max="3328" width="9" style="22"/>
    <col min="3329" max="3329" width="51.125" style="22" customWidth="1"/>
    <col min="3330" max="3330" width="14" style="22" bestFit="1" customWidth="1"/>
    <col min="3331" max="3331" width="14.625" style="22" bestFit="1" customWidth="1"/>
    <col min="3332" max="3332" width="15.25" style="22" bestFit="1" customWidth="1"/>
    <col min="3333" max="3333" width="9" style="22" bestFit="1" customWidth="1"/>
    <col min="3334" max="3334" width="9.5" style="22" bestFit="1" customWidth="1"/>
    <col min="3335" max="3335" width="8.875" style="22" customWidth="1"/>
    <col min="3336" max="3336" width="8.125" style="22" bestFit="1" customWidth="1"/>
    <col min="3337" max="3337" width="5.875" style="22" customWidth="1"/>
    <col min="3338" max="3338" width="18.25" style="22" bestFit="1" customWidth="1"/>
    <col min="3339" max="3339" width="28.625" style="22" bestFit="1" customWidth="1"/>
    <col min="3340" max="3340" width="9" style="22"/>
    <col min="3341" max="3341" width="8.625" style="22" bestFit="1" customWidth="1"/>
    <col min="3342" max="3584" width="9" style="22"/>
    <col min="3585" max="3585" width="51.125" style="22" customWidth="1"/>
    <col min="3586" max="3586" width="14" style="22" bestFit="1" customWidth="1"/>
    <col min="3587" max="3587" width="14.625" style="22" bestFit="1" customWidth="1"/>
    <col min="3588" max="3588" width="15.25" style="22" bestFit="1" customWidth="1"/>
    <col min="3589" max="3589" width="9" style="22" bestFit="1" customWidth="1"/>
    <col min="3590" max="3590" width="9.5" style="22" bestFit="1" customWidth="1"/>
    <col min="3591" max="3591" width="8.875" style="22" customWidth="1"/>
    <col min="3592" max="3592" width="8.125" style="22" bestFit="1" customWidth="1"/>
    <col min="3593" max="3593" width="5.875" style="22" customWidth="1"/>
    <col min="3594" max="3594" width="18.25" style="22" bestFit="1" customWidth="1"/>
    <col min="3595" max="3595" width="28.625" style="22" bestFit="1" customWidth="1"/>
    <col min="3596" max="3596" width="9" style="22"/>
    <col min="3597" max="3597" width="8.625" style="22" bestFit="1" customWidth="1"/>
    <col min="3598" max="3840" width="9" style="22"/>
    <col min="3841" max="3841" width="51.125" style="22" customWidth="1"/>
    <col min="3842" max="3842" width="14" style="22" bestFit="1" customWidth="1"/>
    <col min="3843" max="3843" width="14.625" style="22" bestFit="1" customWidth="1"/>
    <col min="3844" max="3844" width="15.25" style="22" bestFit="1" customWidth="1"/>
    <col min="3845" max="3845" width="9" style="22" bestFit="1" customWidth="1"/>
    <col min="3846" max="3846" width="9.5" style="22" bestFit="1" customWidth="1"/>
    <col min="3847" max="3847" width="8.875" style="22" customWidth="1"/>
    <col min="3848" max="3848" width="8.125" style="22" bestFit="1" customWidth="1"/>
    <col min="3849" max="3849" width="5.875" style="22" customWidth="1"/>
    <col min="3850" max="3850" width="18.25" style="22" bestFit="1" customWidth="1"/>
    <col min="3851" max="3851" width="28.625" style="22" bestFit="1" customWidth="1"/>
    <col min="3852" max="3852" width="9" style="22"/>
    <col min="3853" max="3853" width="8.625" style="22" bestFit="1" customWidth="1"/>
    <col min="3854" max="4096" width="9" style="22"/>
    <col min="4097" max="4097" width="51.125" style="22" customWidth="1"/>
    <col min="4098" max="4098" width="14" style="22" bestFit="1" customWidth="1"/>
    <col min="4099" max="4099" width="14.625" style="22" bestFit="1" customWidth="1"/>
    <col min="4100" max="4100" width="15.25" style="22" bestFit="1" customWidth="1"/>
    <col min="4101" max="4101" width="9" style="22" bestFit="1" customWidth="1"/>
    <col min="4102" max="4102" width="9.5" style="22" bestFit="1" customWidth="1"/>
    <col min="4103" max="4103" width="8.875" style="22" customWidth="1"/>
    <col min="4104" max="4104" width="8.125" style="22" bestFit="1" customWidth="1"/>
    <col min="4105" max="4105" width="5.875" style="22" customWidth="1"/>
    <col min="4106" max="4106" width="18.25" style="22" bestFit="1" customWidth="1"/>
    <col min="4107" max="4107" width="28.625" style="22" bestFit="1" customWidth="1"/>
    <col min="4108" max="4108" width="9" style="22"/>
    <col min="4109" max="4109" width="8.625" style="22" bestFit="1" customWidth="1"/>
    <col min="4110" max="4352" width="9" style="22"/>
    <col min="4353" max="4353" width="51.125" style="22" customWidth="1"/>
    <col min="4354" max="4354" width="14" style="22" bestFit="1" customWidth="1"/>
    <col min="4355" max="4355" width="14.625" style="22" bestFit="1" customWidth="1"/>
    <col min="4356" max="4356" width="15.25" style="22" bestFit="1" customWidth="1"/>
    <col min="4357" max="4357" width="9" style="22" bestFit="1" customWidth="1"/>
    <col min="4358" max="4358" width="9.5" style="22" bestFit="1" customWidth="1"/>
    <col min="4359" max="4359" width="8.875" style="22" customWidth="1"/>
    <col min="4360" max="4360" width="8.125" style="22" bestFit="1" customWidth="1"/>
    <col min="4361" max="4361" width="5.875" style="22" customWidth="1"/>
    <col min="4362" max="4362" width="18.25" style="22" bestFit="1" customWidth="1"/>
    <col min="4363" max="4363" width="28.625" style="22" bestFit="1" customWidth="1"/>
    <col min="4364" max="4364" width="9" style="22"/>
    <col min="4365" max="4365" width="8.625" style="22" bestFit="1" customWidth="1"/>
    <col min="4366" max="4608" width="9" style="22"/>
    <col min="4609" max="4609" width="51.125" style="22" customWidth="1"/>
    <col min="4610" max="4610" width="14" style="22" bestFit="1" customWidth="1"/>
    <col min="4611" max="4611" width="14.625" style="22" bestFit="1" customWidth="1"/>
    <col min="4612" max="4612" width="15.25" style="22" bestFit="1" customWidth="1"/>
    <col min="4613" max="4613" width="9" style="22" bestFit="1" customWidth="1"/>
    <col min="4614" max="4614" width="9.5" style="22" bestFit="1" customWidth="1"/>
    <col min="4615" max="4615" width="8.875" style="22" customWidth="1"/>
    <col min="4616" max="4616" width="8.125" style="22" bestFit="1" customWidth="1"/>
    <col min="4617" max="4617" width="5.875" style="22" customWidth="1"/>
    <col min="4618" max="4618" width="18.25" style="22" bestFit="1" customWidth="1"/>
    <col min="4619" max="4619" width="28.625" style="22" bestFit="1" customWidth="1"/>
    <col min="4620" max="4620" width="9" style="22"/>
    <col min="4621" max="4621" width="8.625" style="22" bestFit="1" customWidth="1"/>
    <col min="4622" max="4864" width="9" style="22"/>
    <col min="4865" max="4865" width="51.125" style="22" customWidth="1"/>
    <col min="4866" max="4866" width="14" style="22" bestFit="1" customWidth="1"/>
    <col min="4867" max="4867" width="14.625" style="22" bestFit="1" customWidth="1"/>
    <col min="4868" max="4868" width="15.25" style="22" bestFit="1" customWidth="1"/>
    <col min="4869" max="4869" width="9" style="22" bestFit="1" customWidth="1"/>
    <col min="4870" max="4870" width="9.5" style="22" bestFit="1" customWidth="1"/>
    <col min="4871" max="4871" width="8.875" style="22" customWidth="1"/>
    <col min="4872" max="4872" width="8.125" style="22" bestFit="1" customWidth="1"/>
    <col min="4873" max="4873" width="5.875" style="22" customWidth="1"/>
    <col min="4874" max="4874" width="18.25" style="22" bestFit="1" customWidth="1"/>
    <col min="4875" max="4875" width="28.625" style="22" bestFit="1" customWidth="1"/>
    <col min="4876" max="4876" width="9" style="22"/>
    <col min="4877" max="4877" width="8.625" style="22" bestFit="1" customWidth="1"/>
    <col min="4878" max="5120" width="9" style="22"/>
    <col min="5121" max="5121" width="51.125" style="22" customWidth="1"/>
    <col min="5122" max="5122" width="14" style="22" bestFit="1" customWidth="1"/>
    <col min="5123" max="5123" width="14.625" style="22" bestFit="1" customWidth="1"/>
    <col min="5124" max="5124" width="15.25" style="22" bestFit="1" customWidth="1"/>
    <col min="5125" max="5125" width="9" style="22" bestFit="1" customWidth="1"/>
    <col min="5126" max="5126" width="9.5" style="22" bestFit="1" customWidth="1"/>
    <col min="5127" max="5127" width="8.875" style="22" customWidth="1"/>
    <col min="5128" max="5128" width="8.125" style="22" bestFit="1" customWidth="1"/>
    <col min="5129" max="5129" width="5.875" style="22" customWidth="1"/>
    <col min="5130" max="5130" width="18.25" style="22" bestFit="1" customWidth="1"/>
    <col min="5131" max="5131" width="28.625" style="22" bestFit="1" customWidth="1"/>
    <col min="5132" max="5132" width="9" style="22"/>
    <col min="5133" max="5133" width="8.625" style="22" bestFit="1" customWidth="1"/>
    <col min="5134" max="5376" width="9" style="22"/>
    <col min="5377" max="5377" width="51.125" style="22" customWidth="1"/>
    <col min="5378" max="5378" width="14" style="22" bestFit="1" customWidth="1"/>
    <col min="5379" max="5379" width="14.625" style="22" bestFit="1" customWidth="1"/>
    <col min="5380" max="5380" width="15.25" style="22" bestFit="1" customWidth="1"/>
    <col min="5381" max="5381" width="9" style="22" bestFit="1" customWidth="1"/>
    <col min="5382" max="5382" width="9.5" style="22" bestFit="1" customWidth="1"/>
    <col min="5383" max="5383" width="8.875" style="22" customWidth="1"/>
    <col min="5384" max="5384" width="8.125" style="22" bestFit="1" customWidth="1"/>
    <col min="5385" max="5385" width="5.875" style="22" customWidth="1"/>
    <col min="5386" max="5386" width="18.25" style="22" bestFit="1" customWidth="1"/>
    <col min="5387" max="5387" width="28.625" style="22" bestFit="1" customWidth="1"/>
    <col min="5388" max="5388" width="9" style="22"/>
    <col min="5389" max="5389" width="8.625" style="22" bestFit="1" customWidth="1"/>
    <col min="5390" max="5632" width="9" style="22"/>
    <col min="5633" max="5633" width="51.125" style="22" customWidth="1"/>
    <col min="5634" max="5634" width="14" style="22" bestFit="1" customWidth="1"/>
    <col min="5635" max="5635" width="14.625" style="22" bestFit="1" customWidth="1"/>
    <col min="5636" max="5636" width="15.25" style="22" bestFit="1" customWidth="1"/>
    <col min="5637" max="5637" width="9" style="22" bestFit="1" customWidth="1"/>
    <col min="5638" max="5638" width="9.5" style="22" bestFit="1" customWidth="1"/>
    <col min="5639" max="5639" width="8.875" style="22" customWidth="1"/>
    <col min="5640" max="5640" width="8.125" style="22" bestFit="1" customWidth="1"/>
    <col min="5641" max="5641" width="5.875" style="22" customWidth="1"/>
    <col min="5642" max="5642" width="18.25" style="22" bestFit="1" customWidth="1"/>
    <col min="5643" max="5643" width="28.625" style="22" bestFit="1" customWidth="1"/>
    <col min="5644" max="5644" width="9" style="22"/>
    <col min="5645" max="5645" width="8.625" style="22" bestFit="1" customWidth="1"/>
    <col min="5646" max="5888" width="9" style="22"/>
    <col min="5889" max="5889" width="51.125" style="22" customWidth="1"/>
    <col min="5890" max="5890" width="14" style="22" bestFit="1" customWidth="1"/>
    <col min="5891" max="5891" width="14.625" style="22" bestFit="1" customWidth="1"/>
    <col min="5892" max="5892" width="15.25" style="22" bestFit="1" customWidth="1"/>
    <col min="5893" max="5893" width="9" style="22" bestFit="1" customWidth="1"/>
    <col min="5894" max="5894" width="9.5" style="22" bestFit="1" customWidth="1"/>
    <col min="5895" max="5895" width="8.875" style="22" customWidth="1"/>
    <col min="5896" max="5896" width="8.125" style="22" bestFit="1" customWidth="1"/>
    <col min="5897" max="5897" width="5.875" style="22" customWidth="1"/>
    <col min="5898" max="5898" width="18.25" style="22" bestFit="1" customWidth="1"/>
    <col min="5899" max="5899" width="28.625" style="22" bestFit="1" customWidth="1"/>
    <col min="5900" max="5900" width="9" style="22"/>
    <col min="5901" max="5901" width="8.625" style="22" bestFit="1" customWidth="1"/>
    <col min="5902" max="6144" width="9" style="22"/>
    <col min="6145" max="6145" width="51.125" style="22" customWidth="1"/>
    <col min="6146" max="6146" width="14" style="22" bestFit="1" customWidth="1"/>
    <col min="6147" max="6147" width="14.625" style="22" bestFit="1" customWidth="1"/>
    <col min="6148" max="6148" width="15.25" style="22" bestFit="1" customWidth="1"/>
    <col min="6149" max="6149" width="9" style="22" bestFit="1" customWidth="1"/>
    <col min="6150" max="6150" width="9.5" style="22" bestFit="1" customWidth="1"/>
    <col min="6151" max="6151" width="8.875" style="22" customWidth="1"/>
    <col min="6152" max="6152" width="8.125" style="22" bestFit="1" customWidth="1"/>
    <col min="6153" max="6153" width="5.875" style="22" customWidth="1"/>
    <col min="6154" max="6154" width="18.25" style="22" bestFit="1" customWidth="1"/>
    <col min="6155" max="6155" width="28.625" style="22" bestFit="1" customWidth="1"/>
    <col min="6156" max="6156" width="9" style="22"/>
    <col min="6157" max="6157" width="8.625" style="22" bestFit="1" customWidth="1"/>
    <col min="6158" max="6400" width="9" style="22"/>
    <col min="6401" max="6401" width="51.125" style="22" customWidth="1"/>
    <col min="6402" max="6402" width="14" style="22" bestFit="1" customWidth="1"/>
    <col min="6403" max="6403" width="14.625" style="22" bestFit="1" customWidth="1"/>
    <col min="6404" max="6404" width="15.25" style="22" bestFit="1" customWidth="1"/>
    <col min="6405" max="6405" width="9" style="22" bestFit="1" customWidth="1"/>
    <col min="6406" max="6406" width="9.5" style="22" bestFit="1" customWidth="1"/>
    <col min="6407" max="6407" width="8.875" style="22" customWidth="1"/>
    <col min="6408" max="6408" width="8.125" style="22" bestFit="1" customWidth="1"/>
    <col min="6409" max="6409" width="5.875" style="22" customWidth="1"/>
    <col min="6410" max="6410" width="18.25" style="22" bestFit="1" customWidth="1"/>
    <col min="6411" max="6411" width="28.625" style="22" bestFit="1" customWidth="1"/>
    <col min="6412" max="6412" width="9" style="22"/>
    <col min="6413" max="6413" width="8.625" style="22" bestFit="1" customWidth="1"/>
    <col min="6414" max="6656" width="9" style="22"/>
    <col min="6657" max="6657" width="51.125" style="22" customWidth="1"/>
    <col min="6658" max="6658" width="14" style="22" bestFit="1" customWidth="1"/>
    <col min="6659" max="6659" width="14.625" style="22" bestFit="1" customWidth="1"/>
    <col min="6660" max="6660" width="15.25" style="22" bestFit="1" customWidth="1"/>
    <col min="6661" max="6661" width="9" style="22" bestFit="1" customWidth="1"/>
    <col min="6662" max="6662" width="9.5" style="22" bestFit="1" customWidth="1"/>
    <col min="6663" max="6663" width="8.875" style="22" customWidth="1"/>
    <col min="6664" max="6664" width="8.125" style="22" bestFit="1" customWidth="1"/>
    <col min="6665" max="6665" width="5.875" style="22" customWidth="1"/>
    <col min="6666" max="6666" width="18.25" style="22" bestFit="1" customWidth="1"/>
    <col min="6667" max="6667" width="28.625" style="22" bestFit="1" customWidth="1"/>
    <col min="6668" max="6668" width="9" style="22"/>
    <col min="6669" max="6669" width="8.625" style="22" bestFit="1" customWidth="1"/>
    <col min="6670" max="6912" width="9" style="22"/>
    <col min="6913" max="6913" width="51.125" style="22" customWidth="1"/>
    <col min="6914" max="6914" width="14" style="22" bestFit="1" customWidth="1"/>
    <col min="6915" max="6915" width="14.625" style="22" bestFit="1" customWidth="1"/>
    <col min="6916" max="6916" width="15.25" style="22" bestFit="1" customWidth="1"/>
    <col min="6917" max="6917" width="9" style="22" bestFit="1" customWidth="1"/>
    <col min="6918" max="6918" width="9.5" style="22" bestFit="1" customWidth="1"/>
    <col min="6919" max="6919" width="8.875" style="22" customWidth="1"/>
    <col min="6920" max="6920" width="8.125" style="22" bestFit="1" customWidth="1"/>
    <col min="6921" max="6921" width="5.875" style="22" customWidth="1"/>
    <col min="6922" max="6922" width="18.25" style="22" bestFit="1" customWidth="1"/>
    <col min="6923" max="6923" width="28.625" style="22" bestFit="1" customWidth="1"/>
    <col min="6924" max="6924" width="9" style="22"/>
    <col min="6925" max="6925" width="8.625" style="22" bestFit="1" customWidth="1"/>
    <col min="6926" max="7168" width="9" style="22"/>
    <col min="7169" max="7169" width="51.125" style="22" customWidth="1"/>
    <col min="7170" max="7170" width="14" style="22" bestFit="1" customWidth="1"/>
    <col min="7171" max="7171" width="14.625" style="22" bestFit="1" customWidth="1"/>
    <col min="7172" max="7172" width="15.25" style="22" bestFit="1" customWidth="1"/>
    <col min="7173" max="7173" width="9" style="22" bestFit="1" customWidth="1"/>
    <col min="7174" max="7174" width="9.5" style="22" bestFit="1" customWidth="1"/>
    <col min="7175" max="7175" width="8.875" style="22" customWidth="1"/>
    <col min="7176" max="7176" width="8.125" style="22" bestFit="1" customWidth="1"/>
    <col min="7177" max="7177" width="5.875" style="22" customWidth="1"/>
    <col min="7178" max="7178" width="18.25" style="22" bestFit="1" customWidth="1"/>
    <col min="7179" max="7179" width="28.625" style="22" bestFit="1" customWidth="1"/>
    <col min="7180" max="7180" width="9" style="22"/>
    <col min="7181" max="7181" width="8.625" style="22" bestFit="1" customWidth="1"/>
    <col min="7182" max="7424" width="9" style="22"/>
    <col min="7425" max="7425" width="51.125" style="22" customWidth="1"/>
    <col min="7426" max="7426" width="14" style="22" bestFit="1" customWidth="1"/>
    <col min="7427" max="7427" width="14.625" style="22" bestFit="1" customWidth="1"/>
    <col min="7428" max="7428" width="15.25" style="22" bestFit="1" customWidth="1"/>
    <col min="7429" max="7429" width="9" style="22" bestFit="1" customWidth="1"/>
    <col min="7430" max="7430" width="9.5" style="22" bestFit="1" customWidth="1"/>
    <col min="7431" max="7431" width="8.875" style="22" customWidth="1"/>
    <col min="7432" max="7432" width="8.125" style="22" bestFit="1" customWidth="1"/>
    <col min="7433" max="7433" width="5.875" style="22" customWidth="1"/>
    <col min="7434" max="7434" width="18.25" style="22" bestFit="1" customWidth="1"/>
    <col min="7435" max="7435" width="28.625" style="22" bestFit="1" customWidth="1"/>
    <col min="7436" max="7436" width="9" style="22"/>
    <col min="7437" max="7437" width="8.625" style="22" bestFit="1" customWidth="1"/>
    <col min="7438" max="7680" width="9" style="22"/>
    <col min="7681" max="7681" width="51.125" style="22" customWidth="1"/>
    <col min="7682" max="7682" width="14" style="22" bestFit="1" customWidth="1"/>
    <col min="7683" max="7683" width="14.625" style="22" bestFit="1" customWidth="1"/>
    <col min="7684" max="7684" width="15.25" style="22" bestFit="1" customWidth="1"/>
    <col min="7685" max="7685" width="9" style="22" bestFit="1" customWidth="1"/>
    <col min="7686" max="7686" width="9.5" style="22" bestFit="1" customWidth="1"/>
    <col min="7687" max="7687" width="8.875" style="22" customWidth="1"/>
    <col min="7688" max="7688" width="8.125" style="22" bestFit="1" customWidth="1"/>
    <col min="7689" max="7689" width="5.875" style="22" customWidth="1"/>
    <col min="7690" max="7690" width="18.25" style="22" bestFit="1" customWidth="1"/>
    <col min="7691" max="7691" width="28.625" style="22" bestFit="1" customWidth="1"/>
    <col min="7692" max="7692" width="9" style="22"/>
    <col min="7693" max="7693" width="8.625" style="22" bestFit="1" customWidth="1"/>
    <col min="7694" max="7936" width="9" style="22"/>
    <col min="7937" max="7937" width="51.125" style="22" customWidth="1"/>
    <col min="7938" max="7938" width="14" style="22" bestFit="1" customWidth="1"/>
    <col min="7939" max="7939" width="14.625" style="22" bestFit="1" customWidth="1"/>
    <col min="7940" max="7940" width="15.25" style="22" bestFit="1" customWidth="1"/>
    <col min="7941" max="7941" width="9" style="22" bestFit="1" customWidth="1"/>
    <col min="7942" max="7942" width="9.5" style="22" bestFit="1" customWidth="1"/>
    <col min="7943" max="7943" width="8.875" style="22" customWidth="1"/>
    <col min="7944" max="7944" width="8.125" style="22" bestFit="1" customWidth="1"/>
    <col min="7945" max="7945" width="5.875" style="22" customWidth="1"/>
    <col min="7946" max="7946" width="18.25" style="22" bestFit="1" customWidth="1"/>
    <col min="7947" max="7947" width="28.625" style="22" bestFit="1" customWidth="1"/>
    <col min="7948" max="7948" width="9" style="22"/>
    <col min="7949" max="7949" width="8.625" style="22" bestFit="1" customWidth="1"/>
    <col min="7950" max="8192" width="9" style="22"/>
    <col min="8193" max="8193" width="51.125" style="22" customWidth="1"/>
    <col min="8194" max="8194" width="14" style="22" bestFit="1" customWidth="1"/>
    <col min="8195" max="8195" width="14.625" style="22" bestFit="1" customWidth="1"/>
    <col min="8196" max="8196" width="15.25" style="22" bestFit="1" customWidth="1"/>
    <col min="8197" max="8197" width="9" style="22" bestFit="1" customWidth="1"/>
    <col min="8198" max="8198" width="9.5" style="22" bestFit="1" customWidth="1"/>
    <col min="8199" max="8199" width="8.875" style="22" customWidth="1"/>
    <col min="8200" max="8200" width="8.125" style="22" bestFit="1" customWidth="1"/>
    <col min="8201" max="8201" width="5.875" style="22" customWidth="1"/>
    <col min="8202" max="8202" width="18.25" style="22" bestFit="1" customWidth="1"/>
    <col min="8203" max="8203" width="28.625" style="22" bestFit="1" customWidth="1"/>
    <col min="8204" max="8204" width="9" style="22"/>
    <col min="8205" max="8205" width="8.625" style="22" bestFit="1" customWidth="1"/>
    <col min="8206" max="8448" width="9" style="22"/>
    <col min="8449" max="8449" width="51.125" style="22" customWidth="1"/>
    <col min="8450" max="8450" width="14" style="22" bestFit="1" customWidth="1"/>
    <col min="8451" max="8451" width="14.625" style="22" bestFit="1" customWidth="1"/>
    <col min="8452" max="8452" width="15.25" style="22" bestFit="1" customWidth="1"/>
    <col min="8453" max="8453" width="9" style="22" bestFit="1" customWidth="1"/>
    <col min="8454" max="8454" width="9.5" style="22" bestFit="1" customWidth="1"/>
    <col min="8455" max="8455" width="8.875" style="22" customWidth="1"/>
    <col min="8456" max="8456" width="8.125" style="22" bestFit="1" customWidth="1"/>
    <col min="8457" max="8457" width="5.875" style="22" customWidth="1"/>
    <col min="8458" max="8458" width="18.25" style="22" bestFit="1" customWidth="1"/>
    <col min="8459" max="8459" width="28.625" style="22" bestFit="1" customWidth="1"/>
    <col min="8460" max="8460" width="9" style="22"/>
    <col min="8461" max="8461" width="8.625" style="22" bestFit="1" customWidth="1"/>
    <col min="8462" max="8704" width="9" style="22"/>
    <col min="8705" max="8705" width="51.125" style="22" customWidth="1"/>
    <col min="8706" max="8706" width="14" style="22" bestFit="1" customWidth="1"/>
    <col min="8707" max="8707" width="14.625" style="22" bestFit="1" customWidth="1"/>
    <col min="8708" max="8708" width="15.25" style="22" bestFit="1" customWidth="1"/>
    <col min="8709" max="8709" width="9" style="22" bestFit="1" customWidth="1"/>
    <col min="8710" max="8710" width="9.5" style="22" bestFit="1" customWidth="1"/>
    <col min="8711" max="8711" width="8.875" style="22" customWidth="1"/>
    <col min="8712" max="8712" width="8.125" style="22" bestFit="1" customWidth="1"/>
    <col min="8713" max="8713" width="5.875" style="22" customWidth="1"/>
    <col min="8714" max="8714" width="18.25" style="22" bestFit="1" customWidth="1"/>
    <col min="8715" max="8715" width="28.625" style="22" bestFit="1" customWidth="1"/>
    <col min="8716" max="8716" width="9" style="22"/>
    <col min="8717" max="8717" width="8.625" style="22" bestFit="1" customWidth="1"/>
    <col min="8718" max="8960" width="9" style="22"/>
    <col min="8961" max="8961" width="51.125" style="22" customWidth="1"/>
    <col min="8962" max="8962" width="14" style="22" bestFit="1" customWidth="1"/>
    <col min="8963" max="8963" width="14.625" style="22" bestFit="1" customWidth="1"/>
    <col min="8964" max="8964" width="15.25" style="22" bestFit="1" customWidth="1"/>
    <col min="8965" max="8965" width="9" style="22" bestFit="1" customWidth="1"/>
    <col min="8966" max="8966" width="9.5" style="22" bestFit="1" customWidth="1"/>
    <col min="8967" max="8967" width="8.875" style="22" customWidth="1"/>
    <col min="8968" max="8968" width="8.125" style="22" bestFit="1" customWidth="1"/>
    <col min="8969" max="8969" width="5.875" style="22" customWidth="1"/>
    <col min="8970" max="8970" width="18.25" style="22" bestFit="1" customWidth="1"/>
    <col min="8971" max="8971" width="28.625" style="22" bestFit="1" customWidth="1"/>
    <col min="8972" max="8972" width="9" style="22"/>
    <col min="8973" max="8973" width="8.625" style="22" bestFit="1" customWidth="1"/>
    <col min="8974" max="9216" width="9" style="22"/>
    <col min="9217" max="9217" width="51.125" style="22" customWidth="1"/>
    <col min="9218" max="9218" width="14" style="22" bestFit="1" customWidth="1"/>
    <col min="9219" max="9219" width="14.625" style="22" bestFit="1" customWidth="1"/>
    <col min="9220" max="9220" width="15.25" style="22" bestFit="1" customWidth="1"/>
    <col min="9221" max="9221" width="9" style="22" bestFit="1" customWidth="1"/>
    <col min="9222" max="9222" width="9.5" style="22" bestFit="1" customWidth="1"/>
    <col min="9223" max="9223" width="8.875" style="22" customWidth="1"/>
    <col min="9224" max="9224" width="8.125" style="22" bestFit="1" customWidth="1"/>
    <col min="9225" max="9225" width="5.875" style="22" customWidth="1"/>
    <col min="9226" max="9226" width="18.25" style="22" bestFit="1" customWidth="1"/>
    <col min="9227" max="9227" width="28.625" style="22" bestFit="1" customWidth="1"/>
    <col min="9228" max="9228" width="9" style="22"/>
    <col min="9229" max="9229" width="8.625" style="22" bestFit="1" customWidth="1"/>
    <col min="9230" max="9472" width="9" style="22"/>
    <col min="9473" max="9473" width="51.125" style="22" customWidth="1"/>
    <col min="9474" max="9474" width="14" style="22" bestFit="1" customWidth="1"/>
    <col min="9475" max="9475" width="14.625" style="22" bestFit="1" customWidth="1"/>
    <col min="9476" max="9476" width="15.25" style="22" bestFit="1" customWidth="1"/>
    <col min="9477" max="9477" width="9" style="22" bestFit="1" customWidth="1"/>
    <col min="9478" max="9478" width="9.5" style="22" bestFit="1" customWidth="1"/>
    <col min="9479" max="9479" width="8.875" style="22" customWidth="1"/>
    <col min="9480" max="9480" width="8.125" style="22" bestFit="1" customWidth="1"/>
    <col min="9481" max="9481" width="5.875" style="22" customWidth="1"/>
    <col min="9482" max="9482" width="18.25" style="22" bestFit="1" customWidth="1"/>
    <col min="9483" max="9483" width="28.625" style="22" bestFit="1" customWidth="1"/>
    <col min="9484" max="9484" width="9" style="22"/>
    <col min="9485" max="9485" width="8.625" style="22" bestFit="1" customWidth="1"/>
    <col min="9486" max="9728" width="9" style="22"/>
    <col min="9729" max="9729" width="51.125" style="22" customWidth="1"/>
    <col min="9730" max="9730" width="14" style="22" bestFit="1" customWidth="1"/>
    <col min="9731" max="9731" width="14.625" style="22" bestFit="1" customWidth="1"/>
    <col min="9732" max="9732" width="15.25" style="22" bestFit="1" customWidth="1"/>
    <col min="9733" max="9733" width="9" style="22" bestFit="1" customWidth="1"/>
    <col min="9734" max="9734" width="9.5" style="22" bestFit="1" customWidth="1"/>
    <col min="9735" max="9735" width="8.875" style="22" customWidth="1"/>
    <col min="9736" max="9736" width="8.125" style="22" bestFit="1" customWidth="1"/>
    <col min="9737" max="9737" width="5.875" style="22" customWidth="1"/>
    <col min="9738" max="9738" width="18.25" style="22" bestFit="1" customWidth="1"/>
    <col min="9739" max="9739" width="28.625" style="22" bestFit="1" customWidth="1"/>
    <col min="9740" max="9740" width="9" style="22"/>
    <col min="9741" max="9741" width="8.625" style="22" bestFit="1" customWidth="1"/>
    <col min="9742" max="9984" width="9" style="22"/>
    <col min="9985" max="9985" width="51.125" style="22" customWidth="1"/>
    <col min="9986" max="9986" width="14" style="22" bestFit="1" customWidth="1"/>
    <col min="9987" max="9987" width="14.625" style="22" bestFit="1" customWidth="1"/>
    <col min="9988" max="9988" width="15.25" style="22" bestFit="1" customWidth="1"/>
    <col min="9989" max="9989" width="9" style="22" bestFit="1" customWidth="1"/>
    <col min="9990" max="9990" width="9.5" style="22" bestFit="1" customWidth="1"/>
    <col min="9991" max="9991" width="8.875" style="22" customWidth="1"/>
    <col min="9992" max="9992" width="8.125" style="22" bestFit="1" customWidth="1"/>
    <col min="9993" max="9993" width="5.875" style="22" customWidth="1"/>
    <col min="9994" max="9994" width="18.25" style="22" bestFit="1" customWidth="1"/>
    <col min="9995" max="9995" width="28.625" style="22" bestFit="1" customWidth="1"/>
    <col min="9996" max="9996" width="9" style="22"/>
    <col min="9997" max="9997" width="8.625" style="22" bestFit="1" customWidth="1"/>
    <col min="9998" max="10240" width="9" style="22"/>
    <col min="10241" max="10241" width="51.125" style="22" customWidth="1"/>
    <col min="10242" max="10242" width="14" style="22" bestFit="1" customWidth="1"/>
    <col min="10243" max="10243" width="14.625" style="22" bestFit="1" customWidth="1"/>
    <col min="10244" max="10244" width="15.25" style="22" bestFit="1" customWidth="1"/>
    <col min="10245" max="10245" width="9" style="22" bestFit="1" customWidth="1"/>
    <col min="10246" max="10246" width="9.5" style="22" bestFit="1" customWidth="1"/>
    <col min="10247" max="10247" width="8.875" style="22" customWidth="1"/>
    <col min="10248" max="10248" width="8.125" style="22" bestFit="1" customWidth="1"/>
    <col min="10249" max="10249" width="5.875" style="22" customWidth="1"/>
    <col min="10250" max="10250" width="18.25" style="22" bestFit="1" customWidth="1"/>
    <col min="10251" max="10251" width="28.625" style="22" bestFit="1" customWidth="1"/>
    <col min="10252" max="10252" width="9" style="22"/>
    <col min="10253" max="10253" width="8.625" style="22" bestFit="1" customWidth="1"/>
    <col min="10254" max="10496" width="9" style="22"/>
    <col min="10497" max="10497" width="51.125" style="22" customWidth="1"/>
    <col min="10498" max="10498" width="14" style="22" bestFit="1" customWidth="1"/>
    <col min="10499" max="10499" width="14.625" style="22" bestFit="1" customWidth="1"/>
    <col min="10500" max="10500" width="15.25" style="22" bestFit="1" customWidth="1"/>
    <col min="10501" max="10501" width="9" style="22" bestFit="1" customWidth="1"/>
    <col min="10502" max="10502" width="9.5" style="22" bestFit="1" customWidth="1"/>
    <col min="10503" max="10503" width="8.875" style="22" customWidth="1"/>
    <col min="10504" max="10504" width="8.125" style="22" bestFit="1" customWidth="1"/>
    <col min="10505" max="10505" width="5.875" style="22" customWidth="1"/>
    <col min="10506" max="10506" width="18.25" style="22" bestFit="1" customWidth="1"/>
    <col min="10507" max="10507" width="28.625" style="22" bestFit="1" customWidth="1"/>
    <col min="10508" max="10508" width="9" style="22"/>
    <col min="10509" max="10509" width="8.625" style="22" bestFit="1" customWidth="1"/>
    <col min="10510" max="10752" width="9" style="22"/>
    <col min="10753" max="10753" width="51.125" style="22" customWidth="1"/>
    <col min="10754" max="10754" width="14" style="22" bestFit="1" customWidth="1"/>
    <col min="10755" max="10755" width="14.625" style="22" bestFit="1" customWidth="1"/>
    <col min="10756" max="10756" width="15.25" style="22" bestFit="1" customWidth="1"/>
    <col min="10757" max="10757" width="9" style="22" bestFit="1" customWidth="1"/>
    <col min="10758" max="10758" width="9.5" style="22" bestFit="1" customWidth="1"/>
    <col min="10759" max="10759" width="8.875" style="22" customWidth="1"/>
    <col min="10760" max="10760" width="8.125" style="22" bestFit="1" customWidth="1"/>
    <col min="10761" max="10761" width="5.875" style="22" customWidth="1"/>
    <col min="10762" max="10762" width="18.25" style="22" bestFit="1" customWidth="1"/>
    <col min="10763" max="10763" width="28.625" style="22" bestFit="1" customWidth="1"/>
    <col min="10764" max="10764" width="9" style="22"/>
    <col min="10765" max="10765" width="8.625" style="22" bestFit="1" customWidth="1"/>
    <col min="10766" max="11008" width="9" style="22"/>
    <col min="11009" max="11009" width="51.125" style="22" customWidth="1"/>
    <col min="11010" max="11010" width="14" style="22" bestFit="1" customWidth="1"/>
    <col min="11011" max="11011" width="14.625" style="22" bestFit="1" customWidth="1"/>
    <col min="11012" max="11012" width="15.25" style="22" bestFit="1" customWidth="1"/>
    <col min="11013" max="11013" width="9" style="22" bestFit="1" customWidth="1"/>
    <col min="11014" max="11014" width="9.5" style="22" bestFit="1" customWidth="1"/>
    <col min="11015" max="11015" width="8.875" style="22" customWidth="1"/>
    <col min="11016" max="11016" width="8.125" style="22" bestFit="1" customWidth="1"/>
    <col min="11017" max="11017" width="5.875" style="22" customWidth="1"/>
    <col min="11018" max="11018" width="18.25" style="22" bestFit="1" customWidth="1"/>
    <col min="11019" max="11019" width="28.625" style="22" bestFit="1" customWidth="1"/>
    <col min="11020" max="11020" width="9" style="22"/>
    <col min="11021" max="11021" width="8.625" style="22" bestFit="1" customWidth="1"/>
    <col min="11022" max="11264" width="9" style="22"/>
    <col min="11265" max="11265" width="51.125" style="22" customWidth="1"/>
    <col min="11266" max="11266" width="14" style="22" bestFit="1" customWidth="1"/>
    <col min="11267" max="11267" width="14.625" style="22" bestFit="1" customWidth="1"/>
    <col min="11268" max="11268" width="15.25" style="22" bestFit="1" customWidth="1"/>
    <col min="11269" max="11269" width="9" style="22" bestFit="1" customWidth="1"/>
    <col min="11270" max="11270" width="9.5" style="22" bestFit="1" customWidth="1"/>
    <col min="11271" max="11271" width="8.875" style="22" customWidth="1"/>
    <col min="11272" max="11272" width="8.125" style="22" bestFit="1" customWidth="1"/>
    <col min="11273" max="11273" width="5.875" style="22" customWidth="1"/>
    <col min="11274" max="11274" width="18.25" style="22" bestFit="1" customWidth="1"/>
    <col min="11275" max="11275" width="28.625" style="22" bestFit="1" customWidth="1"/>
    <col min="11276" max="11276" width="9" style="22"/>
    <col min="11277" max="11277" width="8.625" style="22" bestFit="1" customWidth="1"/>
    <col min="11278" max="11520" width="9" style="22"/>
    <col min="11521" max="11521" width="51.125" style="22" customWidth="1"/>
    <col min="11522" max="11522" width="14" style="22" bestFit="1" customWidth="1"/>
    <col min="11523" max="11523" width="14.625" style="22" bestFit="1" customWidth="1"/>
    <col min="11524" max="11524" width="15.25" style="22" bestFit="1" customWidth="1"/>
    <col min="11525" max="11525" width="9" style="22" bestFit="1" customWidth="1"/>
    <col min="11526" max="11526" width="9.5" style="22" bestFit="1" customWidth="1"/>
    <col min="11527" max="11527" width="8.875" style="22" customWidth="1"/>
    <col min="11528" max="11528" width="8.125" style="22" bestFit="1" customWidth="1"/>
    <col min="11529" max="11529" width="5.875" style="22" customWidth="1"/>
    <col min="11530" max="11530" width="18.25" style="22" bestFit="1" customWidth="1"/>
    <col min="11531" max="11531" width="28.625" style="22" bestFit="1" customWidth="1"/>
    <col min="11532" max="11532" width="9" style="22"/>
    <col min="11533" max="11533" width="8.625" style="22" bestFit="1" customWidth="1"/>
    <col min="11534" max="11776" width="9" style="22"/>
    <col min="11777" max="11777" width="51.125" style="22" customWidth="1"/>
    <col min="11778" max="11778" width="14" style="22" bestFit="1" customWidth="1"/>
    <col min="11779" max="11779" width="14.625" style="22" bestFit="1" customWidth="1"/>
    <col min="11780" max="11780" width="15.25" style="22" bestFit="1" customWidth="1"/>
    <col min="11781" max="11781" width="9" style="22" bestFit="1" customWidth="1"/>
    <col min="11782" max="11782" width="9.5" style="22" bestFit="1" customWidth="1"/>
    <col min="11783" max="11783" width="8.875" style="22" customWidth="1"/>
    <col min="11784" max="11784" width="8.125" style="22" bestFit="1" customWidth="1"/>
    <col min="11785" max="11785" width="5.875" style="22" customWidth="1"/>
    <col min="11786" max="11786" width="18.25" style="22" bestFit="1" customWidth="1"/>
    <col min="11787" max="11787" width="28.625" style="22" bestFit="1" customWidth="1"/>
    <col min="11788" max="11788" width="9" style="22"/>
    <col min="11789" max="11789" width="8.625" style="22" bestFit="1" customWidth="1"/>
    <col min="11790" max="12032" width="9" style="22"/>
    <col min="12033" max="12033" width="51.125" style="22" customWidth="1"/>
    <col min="12034" max="12034" width="14" style="22" bestFit="1" customWidth="1"/>
    <col min="12035" max="12035" width="14.625" style="22" bestFit="1" customWidth="1"/>
    <col min="12036" max="12036" width="15.25" style="22" bestFit="1" customWidth="1"/>
    <col min="12037" max="12037" width="9" style="22" bestFit="1" customWidth="1"/>
    <col min="12038" max="12038" width="9.5" style="22" bestFit="1" customWidth="1"/>
    <col min="12039" max="12039" width="8.875" style="22" customWidth="1"/>
    <col min="12040" max="12040" width="8.125" style="22" bestFit="1" customWidth="1"/>
    <col min="12041" max="12041" width="5.875" style="22" customWidth="1"/>
    <col min="12042" max="12042" width="18.25" style="22" bestFit="1" customWidth="1"/>
    <col min="12043" max="12043" width="28.625" style="22" bestFit="1" customWidth="1"/>
    <col min="12044" max="12044" width="9" style="22"/>
    <col min="12045" max="12045" width="8.625" style="22" bestFit="1" customWidth="1"/>
    <col min="12046" max="12288" width="9" style="22"/>
    <col min="12289" max="12289" width="51.125" style="22" customWidth="1"/>
    <col min="12290" max="12290" width="14" style="22" bestFit="1" customWidth="1"/>
    <col min="12291" max="12291" width="14.625" style="22" bestFit="1" customWidth="1"/>
    <col min="12292" max="12292" width="15.25" style="22" bestFit="1" customWidth="1"/>
    <col min="12293" max="12293" width="9" style="22" bestFit="1" customWidth="1"/>
    <col min="12294" max="12294" width="9.5" style="22" bestFit="1" customWidth="1"/>
    <col min="12295" max="12295" width="8.875" style="22" customWidth="1"/>
    <col min="12296" max="12296" width="8.125" style="22" bestFit="1" customWidth="1"/>
    <col min="12297" max="12297" width="5.875" style="22" customWidth="1"/>
    <col min="12298" max="12298" width="18.25" style="22" bestFit="1" customWidth="1"/>
    <col min="12299" max="12299" width="28.625" style="22" bestFit="1" customWidth="1"/>
    <col min="12300" max="12300" width="9" style="22"/>
    <col min="12301" max="12301" width="8.625" style="22" bestFit="1" customWidth="1"/>
    <col min="12302" max="12544" width="9" style="22"/>
    <col min="12545" max="12545" width="51.125" style="22" customWidth="1"/>
    <col min="12546" max="12546" width="14" style="22" bestFit="1" customWidth="1"/>
    <col min="12547" max="12547" width="14.625" style="22" bestFit="1" customWidth="1"/>
    <col min="12548" max="12548" width="15.25" style="22" bestFit="1" customWidth="1"/>
    <col min="12549" max="12549" width="9" style="22" bestFit="1" customWidth="1"/>
    <col min="12550" max="12550" width="9.5" style="22" bestFit="1" customWidth="1"/>
    <col min="12551" max="12551" width="8.875" style="22" customWidth="1"/>
    <col min="12552" max="12552" width="8.125" style="22" bestFit="1" customWidth="1"/>
    <col min="12553" max="12553" width="5.875" style="22" customWidth="1"/>
    <col min="12554" max="12554" width="18.25" style="22" bestFit="1" customWidth="1"/>
    <col min="12555" max="12555" width="28.625" style="22" bestFit="1" customWidth="1"/>
    <col min="12556" max="12556" width="9" style="22"/>
    <col min="12557" max="12557" width="8.625" style="22" bestFit="1" customWidth="1"/>
    <col min="12558" max="12800" width="9" style="22"/>
    <col min="12801" max="12801" width="51.125" style="22" customWidth="1"/>
    <col min="12802" max="12802" width="14" style="22" bestFit="1" customWidth="1"/>
    <col min="12803" max="12803" width="14.625" style="22" bestFit="1" customWidth="1"/>
    <col min="12804" max="12804" width="15.25" style="22" bestFit="1" customWidth="1"/>
    <col min="12805" max="12805" width="9" style="22" bestFit="1" customWidth="1"/>
    <col min="12806" max="12806" width="9.5" style="22" bestFit="1" customWidth="1"/>
    <col min="12807" max="12807" width="8.875" style="22" customWidth="1"/>
    <col min="12808" max="12808" width="8.125" style="22" bestFit="1" customWidth="1"/>
    <col min="12809" max="12809" width="5.875" style="22" customWidth="1"/>
    <col min="12810" max="12810" width="18.25" style="22" bestFit="1" customWidth="1"/>
    <col min="12811" max="12811" width="28.625" style="22" bestFit="1" customWidth="1"/>
    <col min="12812" max="12812" width="9" style="22"/>
    <col min="12813" max="12813" width="8.625" style="22" bestFit="1" customWidth="1"/>
    <col min="12814" max="13056" width="9" style="22"/>
    <col min="13057" max="13057" width="51.125" style="22" customWidth="1"/>
    <col min="13058" max="13058" width="14" style="22" bestFit="1" customWidth="1"/>
    <col min="13059" max="13059" width="14.625" style="22" bestFit="1" customWidth="1"/>
    <col min="13060" max="13060" width="15.25" style="22" bestFit="1" customWidth="1"/>
    <col min="13061" max="13061" width="9" style="22" bestFit="1" customWidth="1"/>
    <col min="13062" max="13062" width="9.5" style="22" bestFit="1" customWidth="1"/>
    <col min="13063" max="13063" width="8.875" style="22" customWidth="1"/>
    <col min="13064" max="13064" width="8.125" style="22" bestFit="1" customWidth="1"/>
    <col min="13065" max="13065" width="5.875" style="22" customWidth="1"/>
    <col min="13066" max="13066" width="18.25" style="22" bestFit="1" customWidth="1"/>
    <col min="13067" max="13067" width="28.625" style="22" bestFit="1" customWidth="1"/>
    <col min="13068" max="13068" width="9" style="22"/>
    <col min="13069" max="13069" width="8.625" style="22" bestFit="1" customWidth="1"/>
    <col min="13070" max="13312" width="9" style="22"/>
    <col min="13313" max="13313" width="51.125" style="22" customWidth="1"/>
    <col min="13314" max="13314" width="14" style="22" bestFit="1" customWidth="1"/>
    <col min="13315" max="13315" width="14.625" style="22" bestFit="1" customWidth="1"/>
    <col min="13316" max="13316" width="15.25" style="22" bestFit="1" customWidth="1"/>
    <col min="13317" max="13317" width="9" style="22" bestFit="1" customWidth="1"/>
    <col min="13318" max="13318" width="9.5" style="22" bestFit="1" customWidth="1"/>
    <col min="13319" max="13319" width="8.875" style="22" customWidth="1"/>
    <col min="13320" max="13320" width="8.125" style="22" bestFit="1" customWidth="1"/>
    <col min="13321" max="13321" width="5.875" style="22" customWidth="1"/>
    <col min="13322" max="13322" width="18.25" style="22" bestFit="1" customWidth="1"/>
    <col min="13323" max="13323" width="28.625" style="22" bestFit="1" customWidth="1"/>
    <col min="13324" max="13324" width="9" style="22"/>
    <col min="13325" max="13325" width="8.625" style="22" bestFit="1" customWidth="1"/>
    <col min="13326" max="13568" width="9" style="22"/>
    <col min="13569" max="13569" width="51.125" style="22" customWidth="1"/>
    <col min="13570" max="13570" width="14" style="22" bestFit="1" customWidth="1"/>
    <col min="13571" max="13571" width="14.625" style="22" bestFit="1" customWidth="1"/>
    <col min="13572" max="13572" width="15.25" style="22" bestFit="1" customWidth="1"/>
    <col min="13573" max="13573" width="9" style="22" bestFit="1" customWidth="1"/>
    <col min="13574" max="13574" width="9.5" style="22" bestFit="1" customWidth="1"/>
    <col min="13575" max="13575" width="8.875" style="22" customWidth="1"/>
    <col min="13576" max="13576" width="8.125" style="22" bestFit="1" customWidth="1"/>
    <col min="13577" max="13577" width="5.875" style="22" customWidth="1"/>
    <col min="13578" max="13578" width="18.25" style="22" bestFit="1" customWidth="1"/>
    <col min="13579" max="13579" width="28.625" style="22" bestFit="1" customWidth="1"/>
    <col min="13580" max="13580" width="9" style="22"/>
    <col min="13581" max="13581" width="8.625" style="22" bestFit="1" customWidth="1"/>
    <col min="13582" max="13824" width="9" style="22"/>
    <col min="13825" max="13825" width="51.125" style="22" customWidth="1"/>
    <col min="13826" max="13826" width="14" style="22" bestFit="1" customWidth="1"/>
    <col min="13827" max="13827" width="14.625" style="22" bestFit="1" customWidth="1"/>
    <col min="13828" max="13828" width="15.25" style="22" bestFit="1" customWidth="1"/>
    <col min="13829" max="13829" width="9" style="22" bestFit="1" customWidth="1"/>
    <col min="13830" max="13830" width="9.5" style="22" bestFit="1" customWidth="1"/>
    <col min="13831" max="13831" width="8.875" style="22" customWidth="1"/>
    <col min="13832" max="13832" width="8.125" style="22" bestFit="1" customWidth="1"/>
    <col min="13833" max="13833" width="5.875" style="22" customWidth="1"/>
    <col min="13834" max="13834" width="18.25" style="22" bestFit="1" customWidth="1"/>
    <col min="13835" max="13835" width="28.625" style="22" bestFit="1" customWidth="1"/>
    <col min="13836" max="13836" width="9" style="22"/>
    <col min="13837" max="13837" width="8.625" style="22" bestFit="1" customWidth="1"/>
    <col min="13838" max="14080" width="9" style="22"/>
    <col min="14081" max="14081" width="51.125" style="22" customWidth="1"/>
    <col min="14082" max="14082" width="14" style="22" bestFit="1" customWidth="1"/>
    <col min="14083" max="14083" width="14.625" style="22" bestFit="1" customWidth="1"/>
    <col min="14084" max="14084" width="15.25" style="22" bestFit="1" customWidth="1"/>
    <col min="14085" max="14085" width="9" style="22" bestFit="1" customWidth="1"/>
    <col min="14086" max="14086" width="9.5" style="22" bestFit="1" customWidth="1"/>
    <col min="14087" max="14087" width="8.875" style="22" customWidth="1"/>
    <col min="14088" max="14088" width="8.125" style="22" bestFit="1" customWidth="1"/>
    <col min="14089" max="14089" width="5.875" style="22" customWidth="1"/>
    <col min="14090" max="14090" width="18.25" style="22" bestFit="1" customWidth="1"/>
    <col min="14091" max="14091" width="28.625" style="22" bestFit="1" customWidth="1"/>
    <col min="14092" max="14092" width="9" style="22"/>
    <col min="14093" max="14093" width="8.625" style="22" bestFit="1" customWidth="1"/>
    <col min="14094" max="14336" width="9" style="22"/>
    <col min="14337" max="14337" width="51.125" style="22" customWidth="1"/>
    <col min="14338" max="14338" width="14" style="22" bestFit="1" customWidth="1"/>
    <col min="14339" max="14339" width="14.625" style="22" bestFit="1" customWidth="1"/>
    <col min="14340" max="14340" width="15.25" style="22" bestFit="1" customWidth="1"/>
    <col min="14341" max="14341" width="9" style="22" bestFit="1" customWidth="1"/>
    <col min="14342" max="14342" width="9.5" style="22" bestFit="1" customWidth="1"/>
    <col min="14343" max="14343" width="8.875" style="22" customWidth="1"/>
    <col min="14344" max="14344" width="8.125" style="22" bestFit="1" customWidth="1"/>
    <col min="14345" max="14345" width="5.875" style="22" customWidth="1"/>
    <col min="14346" max="14346" width="18.25" style="22" bestFit="1" customWidth="1"/>
    <col min="14347" max="14347" width="28.625" style="22" bestFit="1" customWidth="1"/>
    <col min="14348" max="14348" width="9" style="22"/>
    <col min="14349" max="14349" width="8.625" style="22" bestFit="1" customWidth="1"/>
    <col min="14350" max="14592" width="9" style="22"/>
    <col min="14593" max="14593" width="51.125" style="22" customWidth="1"/>
    <col min="14594" max="14594" width="14" style="22" bestFit="1" customWidth="1"/>
    <col min="14595" max="14595" width="14.625" style="22" bestFit="1" customWidth="1"/>
    <col min="14596" max="14596" width="15.25" style="22" bestFit="1" customWidth="1"/>
    <col min="14597" max="14597" width="9" style="22" bestFit="1" customWidth="1"/>
    <col min="14598" max="14598" width="9.5" style="22" bestFit="1" customWidth="1"/>
    <col min="14599" max="14599" width="8.875" style="22" customWidth="1"/>
    <col min="14600" max="14600" width="8.125" style="22" bestFit="1" customWidth="1"/>
    <col min="14601" max="14601" width="5.875" style="22" customWidth="1"/>
    <col min="14602" max="14602" width="18.25" style="22" bestFit="1" customWidth="1"/>
    <col min="14603" max="14603" width="28.625" style="22" bestFit="1" customWidth="1"/>
    <col min="14604" max="14604" width="9" style="22"/>
    <col min="14605" max="14605" width="8.625" style="22" bestFit="1" customWidth="1"/>
    <col min="14606" max="14848" width="9" style="22"/>
    <col min="14849" max="14849" width="51.125" style="22" customWidth="1"/>
    <col min="14850" max="14850" width="14" style="22" bestFit="1" customWidth="1"/>
    <col min="14851" max="14851" width="14.625" style="22" bestFit="1" customWidth="1"/>
    <col min="14852" max="14852" width="15.25" style="22" bestFit="1" customWidth="1"/>
    <col min="14853" max="14853" width="9" style="22" bestFit="1" customWidth="1"/>
    <col min="14854" max="14854" width="9.5" style="22" bestFit="1" customWidth="1"/>
    <col min="14855" max="14855" width="8.875" style="22" customWidth="1"/>
    <col min="14856" max="14856" width="8.125" style="22" bestFit="1" customWidth="1"/>
    <col min="14857" max="14857" width="5.875" style="22" customWidth="1"/>
    <col min="14858" max="14858" width="18.25" style="22" bestFit="1" customWidth="1"/>
    <col min="14859" max="14859" width="28.625" style="22" bestFit="1" customWidth="1"/>
    <col min="14860" max="14860" width="9" style="22"/>
    <col min="14861" max="14861" width="8.625" style="22" bestFit="1" customWidth="1"/>
    <col min="14862" max="15104" width="9" style="22"/>
    <col min="15105" max="15105" width="51.125" style="22" customWidth="1"/>
    <col min="15106" max="15106" width="14" style="22" bestFit="1" customWidth="1"/>
    <col min="15107" max="15107" width="14.625" style="22" bestFit="1" customWidth="1"/>
    <col min="15108" max="15108" width="15.25" style="22" bestFit="1" customWidth="1"/>
    <col min="15109" max="15109" width="9" style="22" bestFit="1" customWidth="1"/>
    <col min="15110" max="15110" width="9.5" style="22" bestFit="1" customWidth="1"/>
    <col min="15111" max="15111" width="8.875" style="22" customWidth="1"/>
    <col min="15112" max="15112" width="8.125" style="22" bestFit="1" customWidth="1"/>
    <col min="15113" max="15113" width="5.875" style="22" customWidth="1"/>
    <col min="15114" max="15114" width="18.25" style="22" bestFit="1" customWidth="1"/>
    <col min="15115" max="15115" width="28.625" style="22" bestFit="1" customWidth="1"/>
    <col min="15116" max="15116" width="9" style="22"/>
    <col min="15117" max="15117" width="8.625" style="22" bestFit="1" customWidth="1"/>
    <col min="15118" max="15360" width="9" style="22"/>
    <col min="15361" max="15361" width="51.125" style="22" customWidth="1"/>
    <col min="15362" max="15362" width="14" style="22" bestFit="1" customWidth="1"/>
    <col min="15363" max="15363" width="14.625" style="22" bestFit="1" customWidth="1"/>
    <col min="15364" max="15364" width="15.25" style="22" bestFit="1" customWidth="1"/>
    <col min="15365" max="15365" width="9" style="22" bestFit="1" customWidth="1"/>
    <col min="15366" max="15366" width="9.5" style="22" bestFit="1" customWidth="1"/>
    <col min="15367" max="15367" width="8.875" style="22" customWidth="1"/>
    <col min="15368" max="15368" width="8.125" style="22" bestFit="1" customWidth="1"/>
    <col min="15369" max="15369" width="5.875" style="22" customWidth="1"/>
    <col min="15370" max="15370" width="18.25" style="22" bestFit="1" customWidth="1"/>
    <col min="15371" max="15371" width="28.625" style="22" bestFit="1" customWidth="1"/>
    <col min="15372" max="15372" width="9" style="22"/>
    <col min="15373" max="15373" width="8.625" style="22" bestFit="1" customWidth="1"/>
    <col min="15374" max="15616" width="9" style="22"/>
    <col min="15617" max="15617" width="51.125" style="22" customWidth="1"/>
    <col min="15618" max="15618" width="14" style="22" bestFit="1" customWidth="1"/>
    <col min="15619" max="15619" width="14.625" style="22" bestFit="1" customWidth="1"/>
    <col min="15620" max="15620" width="15.25" style="22" bestFit="1" customWidth="1"/>
    <col min="15621" max="15621" width="9" style="22" bestFit="1" customWidth="1"/>
    <col min="15622" max="15622" width="9.5" style="22" bestFit="1" customWidth="1"/>
    <col min="15623" max="15623" width="8.875" style="22" customWidth="1"/>
    <col min="15624" max="15624" width="8.125" style="22" bestFit="1" customWidth="1"/>
    <col min="15625" max="15625" width="5.875" style="22" customWidth="1"/>
    <col min="15626" max="15626" width="18.25" style="22" bestFit="1" customWidth="1"/>
    <col min="15627" max="15627" width="28.625" style="22" bestFit="1" customWidth="1"/>
    <col min="15628" max="15628" width="9" style="22"/>
    <col min="15629" max="15629" width="8.625" style="22" bestFit="1" customWidth="1"/>
    <col min="15630" max="15872" width="9" style="22"/>
    <col min="15873" max="15873" width="51.125" style="22" customWidth="1"/>
    <col min="15874" max="15874" width="14" style="22" bestFit="1" customWidth="1"/>
    <col min="15875" max="15875" width="14.625" style="22" bestFit="1" customWidth="1"/>
    <col min="15876" max="15876" width="15.25" style="22" bestFit="1" customWidth="1"/>
    <col min="15877" max="15877" width="9" style="22" bestFit="1" customWidth="1"/>
    <col min="15878" max="15878" width="9.5" style="22" bestFit="1" customWidth="1"/>
    <col min="15879" max="15879" width="8.875" style="22" customWidth="1"/>
    <col min="15880" max="15880" width="8.125" style="22" bestFit="1" customWidth="1"/>
    <col min="15881" max="15881" width="5.875" style="22" customWidth="1"/>
    <col min="15882" max="15882" width="18.25" style="22" bestFit="1" customWidth="1"/>
    <col min="15883" max="15883" width="28.625" style="22" bestFit="1" customWidth="1"/>
    <col min="15884" max="15884" width="9" style="22"/>
    <col min="15885" max="15885" width="8.625" style="22" bestFit="1" customWidth="1"/>
    <col min="15886" max="16128" width="9" style="22"/>
    <col min="16129" max="16129" width="51.125" style="22" customWidth="1"/>
    <col min="16130" max="16130" width="14" style="22" bestFit="1" customWidth="1"/>
    <col min="16131" max="16131" width="14.625" style="22" bestFit="1" customWidth="1"/>
    <col min="16132" max="16132" width="15.25" style="22" bestFit="1" customWidth="1"/>
    <col min="16133" max="16133" width="9" style="22" bestFit="1" customWidth="1"/>
    <col min="16134" max="16134" width="9.5" style="22" bestFit="1" customWidth="1"/>
    <col min="16135" max="16135" width="8.875" style="22" customWidth="1"/>
    <col min="16136" max="16136" width="8.125" style="22" bestFit="1" customWidth="1"/>
    <col min="16137" max="16137" width="5.875" style="22" customWidth="1"/>
    <col min="16138" max="16138" width="18.25" style="22" bestFit="1" customWidth="1"/>
    <col min="16139" max="16139" width="28.625" style="22" bestFit="1" customWidth="1"/>
    <col min="16140" max="16140" width="9" style="22"/>
    <col min="16141" max="16141" width="8.625" style="22" bestFit="1" customWidth="1"/>
    <col min="16142" max="16384" width="9" style="22"/>
  </cols>
  <sheetData>
    <row r="1" spans="1:9">
      <c r="A1" s="21" t="s">
        <v>158</v>
      </c>
    </row>
    <row r="2" spans="1:9">
      <c r="A2" s="21" t="s">
        <v>159</v>
      </c>
    </row>
    <row r="3" spans="1:9">
      <c r="A3" s="21"/>
    </row>
    <row r="4" spans="1:9">
      <c r="A4" s="21" t="s">
        <v>160</v>
      </c>
    </row>
    <row r="6" spans="1:9" s="23" customFormat="1">
      <c r="A6" s="23" t="s">
        <v>161</v>
      </c>
      <c r="B6" s="24">
        <v>500000</v>
      </c>
    </row>
    <row r="7" spans="1:9" s="23" customFormat="1">
      <c r="A7" s="25" t="s">
        <v>162</v>
      </c>
      <c r="B7" s="24"/>
    </row>
    <row r="8" spans="1:9" s="23" customFormat="1">
      <c r="A8" s="26" t="s">
        <v>163</v>
      </c>
      <c r="B8" s="24">
        <f>+B127</f>
        <v>710.76755870825843</v>
      </c>
      <c r="C8" s="23" t="s">
        <v>164</v>
      </c>
      <c r="G8" s="27"/>
      <c r="I8" s="28"/>
    </row>
    <row r="9" spans="1:9" s="23" customFormat="1">
      <c r="A9" s="29" t="s">
        <v>165</v>
      </c>
      <c r="B9" s="24">
        <f>+B153</f>
        <v>8888.8888888888887</v>
      </c>
      <c r="C9" s="23" t="s">
        <v>164</v>
      </c>
      <c r="G9" s="27"/>
    </row>
    <row r="10" spans="1:9" s="23" customFormat="1">
      <c r="A10" s="29" t="s">
        <v>166</v>
      </c>
      <c r="B10" s="24">
        <v>6000</v>
      </c>
      <c r="C10" s="23" t="s">
        <v>164</v>
      </c>
      <c r="G10" s="27"/>
    </row>
    <row r="11" spans="1:9" s="23" customFormat="1">
      <c r="A11" s="29" t="s">
        <v>167</v>
      </c>
      <c r="B11" s="24">
        <v>70000</v>
      </c>
      <c r="C11" s="23" t="s">
        <v>164</v>
      </c>
      <c r="G11" s="27"/>
    </row>
    <row r="12" spans="1:9" s="23" customFormat="1">
      <c r="A12" s="29" t="s">
        <v>168</v>
      </c>
      <c r="B12" s="24">
        <f>-B217</f>
        <v>2000</v>
      </c>
      <c r="C12" s="23" t="s">
        <v>164</v>
      </c>
      <c r="G12" s="27"/>
    </row>
    <row r="13" spans="1:9" s="23" customFormat="1">
      <c r="A13" s="30" t="s">
        <v>169</v>
      </c>
      <c r="B13" s="24">
        <v>5000</v>
      </c>
    </row>
    <row r="14" spans="1:9" s="23" customFormat="1">
      <c r="A14" s="30"/>
      <c r="B14" s="31">
        <f>SUM(B8:B13)</f>
        <v>92599.656447597139</v>
      </c>
    </row>
    <row r="15" spans="1:9" s="23" customFormat="1">
      <c r="A15" s="30"/>
    </row>
    <row r="16" spans="1:9" s="23" customFormat="1">
      <c r="A16" s="25" t="s">
        <v>170</v>
      </c>
      <c r="B16" s="24"/>
    </row>
    <row r="17" spans="1:7" s="23" customFormat="1">
      <c r="A17" s="32" t="s">
        <v>171</v>
      </c>
      <c r="B17" s="33">
        <v>1000</v>
      </c>
      <c r="C17" s="34" t="s">
        <v>164</v>
      </c>
      <c r="D17" s="34"/>
      <c r="E17" s="34"/>
      <c r="F17" s="34"/>
      <c r="G17" s="35" t="s">
        <v>172</v>
      </c>
    </row>
    <row r="18" spans="1:7" s="23" customFormat="1">
      <c r="A18" s="32" t="s">
        <v>173</v>
      </c>
      <c r="B18" s="33">
        <f>25000*0.2</f>
        <v>5000</v>
      </c>
      <c r="C18" s="32"/>
      <c r="D18" s="32"/>
      <c r="E18" s="34"/>
      <c r="F18" s="34"/>
      <c r="G18" s="35" t="s">
        <v>174</v>
      </c>
    </row>
    <row r="19" spans="1:7" s="23" customFormat="1">
      <c r="A19" s="32" t="s">
        <v>175</v>
      </c>
      <c r="B19" s="33">
        <v>4000</v>
      </c>
      <c r="C19" s="32" t="s">
        <v>164</v>
      </c>
      <c r="D19" s="32"/>
      <c r="E19" s="34"/>
      <c r="F19" s="34"/>
      <c r="G19" s="35"/>
    </row>
    <row r="20" spans="1:7" s="23" customFormat="1">
      <c r="A20" s="26" t="s">
        <v>176</v>
      </c>
      <c r="B20" s="24">
        <f>+B126</f>
        <v>385.71804690611737</v>
      </c>
      <c r="C20" s="29" t="s">
        <v>164</v>
      </c>
      <c r="D20" s="29"/>
      <c r="G20" s="27"/>
    </row>
    <row r="21" spans="1:7" s="23" customFormat="1">
      <c r="A21" s="29" t="s">
        <v>177</v>
      </c>
      <c r="B21" s="24">
        <f>+B154</f>
        <v>6000</v>
      </c>
      <c r="C21" s="23" t="s">
        <v>164</v>
      </c>
      <c r="G21" s="27" t="s">
        <v>178</v>
      </c>
    </row>
    <row r="22" spans="1:7" s="23" customFormat="1">
      <c r="A22" s="29" t="s">
        <v>179</v>
      </c>
      <c r="B22" s="33">
        <f>120000/3</f>
        <v>40000</v>
      </c>
      <c r="C22" s="34" t="s">
        <v>164</v>
      </c>
      <c r="D22" s="29"/>
      <c r="E22" s="34"/>
      <c r="F22" s="34"/>
      <c r="G22" s="35" t="s">
        <v>180</v>
      </c>
    </row>
    <row r="23" spans="1:7" s="23" customFormat="1">
      <c r="A23" s="29" t="s">
        <v>181</v>
      </c>
      <c r="B23" s="24">
        <f>+B216</f>
        <v>1000</v>
      </c>
      <c r="C23" s="34" t="s">
        <v>164</v>
      </c>
      <c r="G23" s="27"/>
    </row>
    <row r="24" spans="1:7" s="23" customFormat="1">
      <c r="A24" s="29"/>
      <c r="B24" s="24"/>
      <c r="G24" s="27"/>
    </row>
    <row r="25" spans="1:7" s="23" customFormat="1">
      <c r="A25" s="29"/>
      <c r="B25" s="24"/>
      <c r="C25" s="24"/>
      <c r="G25" s="27"/>
    </row>
    <row r="26" spans="1:7" s="23" customFormat="1">
      <c r="B26" s="31">
        <f>SUM(B17:B25)</f>
        <v>57385.718046906113</v>
      </c>
    </row>
    <row r="27" spans="1:7" s="23" customFormat="1">
      <c r="B27" s="24"/>
    </row>
    <row r="28" spans="1:7">
      <c r="A28" s="21" t="s">
        <v>182</v>
      </c>
      <c r="B28" s="36">
        <f>+B6+B14-B26</f>
        <v>535213.93840069091</v>
      </c>
    </row>
    <row r="29" spans="1:7">
      <c r="B29" s="37"/>
    </row>
    <row r="30" spans="1:7">
      <c r="A30" s="21" t="s">
        <v>183</v>
      </c>
      <c r="B30" s="37"/>
    </row>
    <row r="31" spans="1:7">
      <c r="A31" s="22" t="s">
        <v>184</v>
      </c>
      <c r="B31" s="37">
        <f>+B28*0.25</f>
        <v>133803.48460017273</v>
      </c>
    </row>
    <row r="32" spans="1:7">
      <c r="A32" s="32" t="s">
        <v>173</v>
      </c>
      <c r="B32" s="37">
        <f>25000*0.2*0.2</f>
        <v>1000</v>
      </c>
      <c r="G32" s="38" t="s">
        <v>185</v>
      </c>
    </row>
    <row r="33" spans="1:7">
      <c r="A33" s="22" t="s">
        <v>186</v>
      </c>
      <c r="B33" s="37">
        <f>-5000*0.35</f>
        <v>-1750</v>
      </c>
      <c r="G33" s="38" t="s">
        <v>187</v>
      </c>
    </row>
    <row r="34" spans="1:7">
      <c r="A34" s="22" t="s">
        <v>183</v>
      </c>
      <c r="B34" s="36">
        <f>SUM(B31:B33)</f>
        <v>133053.48460017273</v>
      </c>
      <c r="E34" s="38"/>
    </row>
    <row r="37" spans="1:7">
      <c r="A37" s="21"/>
      <c r="B37" s="36"/>
    </row>
    <row r="38" spans="1:7">
      <c r="A38" s="25" t="s">
        <v>188</v>
      </c>
      <c r="B38" s="23"/>
      <c r="C38" s="23"/>
      <c r="D38" s="23"/>
      <c r="E38" s="23"/>
    </row>
    <row r="39" spans="1:7">
      <c r="A39" s="23"/>
      <c r="B39" s="39" t="s">
        <v>189</v>
      </c>
      <c r="C39" s="40" t="s">
        <v>190</v>
      </c>
      <c r="D39" s="40" t="s">
        <v>191</v>
      </c>
      <c r="E39" s="39" t="s">
        <v>192</v>
      </c>
    </row>
    <row r="40" spans="1:7">
      <c r="A40" s="41" t="s">
        <v>193</v>
      </c>
      <c r="B40" s="24">
        <f>+B67</f>
        <v>500</v>
      </c>
      <c r="C40" s="24">
        <f>+B70</f>
        <v>-250</v>
      </c>
      <c r="D40" s="24">
        <f>+B71</f>
        <v>10</v>
      </c>
      <c r="E40" s="24">
        <f>+B68</f>
        <v>260</v>
      </c>
    </row>
    <row r="41" spans="1:7">
      <c r="A41" s="42" t="s">
        <v>194</v>
      </c>
      <c r="B41" s="24">
        <f>B116</f>
        <v>-2000</v>
      </c>
      <c r="C41" s="24"/>
      <c r="D41" s="24">
        <f>D116</f>
        <v>-500</v>
      </c>
      <c r="E41" s="24">
        <f>E116</f>
        <v>-2500</v>
      </c>
    </row>
    <row r="42" spans="1:7">
      <c r="A42" s="43" t="s">
        <v>195</v>
      </c>
      <c r="B42" s="24">
        <v>0</v>
      </c>
      <c r="C42" s="24">
        <f>+E42-B42</f>
        <v>-978.94955007690658</v>
      </c>
      <c r="D42" s="24"/>
      <c r="E42" s="24">
        <f>+B143</f>
        <v>-978.94955007690658</v>
      </c>
    </row>
    <row r="43" spans="1:7">
      <c r="A43" s="32" t="s">
        <v>196</v>
      </c>
      <c r="B43" s="24">
        <f>+B151</f>
        <v>-3250</v>
      </c>
      <c r="C43" s="24">
        <f>+B163</f>
        <v>2325.0793650793648</v>
      </c>
      <c r="D43" s="24">
        <f>+B159</f>
        <v>2527.7777777777778</v>
      </c>
      <c r="E43" s="24">
        <f>+B165</f>
        <v>1602.8571428571427</v>
      </c>
    </row>
    <row r="44" spans="1:7">
      <c r="A44" s="42" t="s">
        <v>197</v>
      </c>
      <c r="B44" s="24">
        <f>+C177</f>
        <v>8333.3333333333376</v>
      </c>
      <c r="C44" s="24">
        <f>+E44-B44</f>
        <v>8366.6666666666697</v>
      </c>
      <c r="D44" s="24"/>
      <c r="E44" s="24">
        <f>+C188</f>
        <v>16700.000000000007</v>
      </c>
    </row>
    <row r="45" spans="1:7">
      <c r="A45" s="42" t="s">
        <v>198</v>
      </c>
      <c r="B45" s="24">
        <f>+B220</f>
        <v>750</v>
      </c>
      <c r="C45" s="24">
        <f>+E45-B45</f>
        <v>290</v>
      </c>
      <c r="D45" s="24"/>
      <c r="E45" s="24">
        <f>+B221</f>
        <v>1040</v>
      </c>
    </row>
    <row r="46" spans="1:7">
      <c r="A46" s="25" t="s">
        <v>34</v>
      </c>
      <c r="B46" s="31">
        <f>+SUM(B40:B45)</f>
        <v>4333.3333333333376</v>
      </c>
      <c r="C46" s="31">
        <f>+SUM(C40:C45)</f>
        <v>9752.7964816691274</v>
      </c>
      <c r="D46" s="31">
        <f>+SUM(D40:D45)</f>
        <v>2037.7777777777778</v>
      </c>
      <c r="E46" s="31">
        <f>+SUM(E40:E45)</f>
        <v>16123.907592780244</v>
      </c>
      <c r="G46" s="31"/>
    </row>
    <row r="47" spans="1:7">
      <c r="A47" s="23"/>
      <c r="B47" s="23"/>
      <c r="C47" s="23"/>
      <c r="D47" s="23"/>
      <c r="E47" s="23"/>
    </row>
    <row r="48" spans="1:7">
      <c r="A48" s="21" t="s">
        <v>199</v>
      </c>
    </row>
    <row r="49" spans="1:10">
      <c r="A49" s="21" t="s">
        <v>200</v>
      </c>
      <c r="D49" s="37">
        <f>+B34</f>
        <v>133053.48460017273</v>
      </c>
    </row>
    <row r="50" spans="1:10">
      <c r="A50" s="21" t="s">
        <v>201</v>
      </c>
      <c r="D50" s="37"/>
    </row>
    <row r="51" spans="1:10">
      <c r="A51" s="22" t="s">
        <v>202</v>
      </c>
      <c r="D51" s="28">
        <f>0.25*(SUM(B17,B19,B20,B21,B22,B23)-SUM(B8:B12))</f>
        <v>-8803.4846001727565</v>
      </c>
    </row>
    <row r="52" spans="1:10">
      <c r="A52" s="22" t="s">
        <v>203</v>
      </c>
      <c r="D52" s="24">
        <f>+D53-D51</f>
        <v>-949.31188149637092</v>
      </c>
    </row>
    <row r="53" spans="1:10">
      <c r="A53" s="21" t="s">
        <v>204</v>
      </c>
      <c r="B53" s="21"/>
      <c r="C53" s="21"/>
      <c r="D53" s="31">
        <f>-C46</f>
        <v>-9752.7964816691274</v>
      </c>
    </row>
    <row r="54" spans="1:10">
      <c r="A54" s="21" t="s">
        <v>205</v>
      </c>
      <c r="D54" s="31">
        <f>+D49+D53</f>
        <v>123300.6881185036</v>
      </c>
    </row>
    <row r="55" spans="1:10">
      <c r="A55" s="21"/>
      <c r="D55" s="36"/>
      <c r="J55" s="21"/>
    </row>
    <row r="56" spans="1:10">
      <c r="A56" s="21" t="s">
        <v>206</v>
      </c>
    </row>
    <row r="57" spans="1:10">
      <c r="A57" s="25" t="s">
        <v>207</v>
      </c>
      <c r="B57" s="31">
        <f>500000*0.25</f>
        <v>125000</v>
      </c>
      <c r="C57" s="23"/>
      <c r="D57" s="23"/>
      <c r="E57" s="23"/>
      <c r="F57" s="23"/>
      <c r="G57" s="27" t="s">
        <v>208</v>
      </c>
    </row>
    <row r="58" spans="1:10">
      <c r="A58" s="30" t="s">
        <v>169</v>
      </c>
      <c r="B58" s="24">
        <f>+-5000*0.1</f>
        <v>-500</v>
      </c>
      <c r="C58" s="23"/>
      <c r="D58" s="23"/>
      <c r="E58" s="23"/>
      <c r="F58" s="23"/>
      <c r="G58" s="27" t="s">
        <v>209</v>
      </c>
    </row>
    <row r="59" spans="1:10">
      <c r="A59" s="30" t="s">
        <v>173</v>
      </c>
      <c r="B59" s="24">
        <f>-5000*0.05</f>
        <v>-250</v>
      </c>
      <c r="C59" s="23"/>
      <c r="D59" s="23"/>
      <c r="E59" s="23"/>
      <c r="F59" s="23"/>
      <c r="G59" s="27" t="s">
        <v>210</v>
      </c>
    </row>
    <row r="60" spans="1:10">
      <c r="A60" s="30" t="s">
        <v>203</v>
      </c>
      <c r="B60" s="24">
        <f>+D52</f>
        <v>-949.31188149637092</v>
      </c>
      <c r="C60" s="23"/>
      <c r="D60" s="23"/>
      <c r="E60" s="23"/>
      <c r="F60" s="23"/>
      <c r="G60" s="23"/>
    </row>
    <row r="61" spans="1:10">
      <c r="A61" s="25" t="s">
        <v>211</v>
      </c>
      <c r="B61" s="31">
        <f>SUM(B57:B60)</f>
        <v>123300.68811850363</v>
      </c>
      <c r="C61" s="23"/>
      <c r="D61" s="23"/>
      <c r="E61" s="23"/>
      <c r="F61" s="23"/>
      <c r="G61" s="23"/>
    </row>
    <row r="62" spans="1:10">
      <c r="A62" s="21"/>
      <c r="B62" s="37"/>
      <c r="C62" s="37"/>
    </row>
    <row r="63" spans="1:10">
      <c r="A63" s="23"/>
      <c r="B63" s="23"/>
      <c r="C63" s="23"/>
      <c r="D63" s="23"/>
      <c r="E63" s="23"/>
      <c r="F63" s="23"/>
      <c r="G63" s="23"/>
    </row>
    <row r="64" spans="1:10">
      <c r="A64" s="25" t="s">
        <v>212</v>
      </c>
      <c r="B64" s="23"/>
      <c r="C64" s="23"/>
      <c r="D64" s="23"/>
      <c r="E64" s="23"/>
      <c r="F64" s="23"/>
      <c r="G64" s="23"/>
    </row>
    <row r="65" spans="1:7">
      <c r="A65" s="44" t="s">
        <v>213</v>
      </c>
      <c r="B65" s="23"/>
      <c r="C65" s="23"/>
      <c r="D65" s="23"/>
      <c r="E65" s="23"/>
      <c r="F65" s="23"/>
      <c r="G65" s="23"/>
    </row>
    <row r="66" spans="1:7">
      <c r="A66" s="45" t="s">
        <v>214</v>
      </c>
      <c r="B66" s="23"/>
      <c r="C66" s="23"/>
      <c r="D66" s="23"/>
      <c r="E66" s="23"/>
      <c r="F66" s="23"/>
      <c r="G66" s="23"/>
    </row>
    <row r="67" spans="1:7">
      <c r="A67" s="32" t="s">
        <v>215</v>
      </c>
      <c r="B67" s="24">
        <f>3000*2/3*0.25</f>
        <v>500</v>
      </c>
      <c r="C67" s="23"/>
      <c r="D67" s="23"/>
      <c r="E67" s="23"/>
      <c r="F67" s="23"/>
      <c r="G67" s="27" t="s">
        <v>216</v>
      </c>
    </row>
    <row r="68" spans="1:7">
      <c r="A68" s="32" t="s">
        <v>217</v>
      </c>
      <c r="B68" s="24">
        <f>1000*0.26</f>
        <v>260</v>
      </c>
      <c r="C68" s="23"/>
      <c r="D68" s="23"/>
      <c r="E68" s="23"/>
      <c r="F68" s="23"/>
      <c r="G68" s="27" t="s">
        <v>218</v>
      </c>
    </row>
    <row r="69" spans="1:7">
      <c r="A69" s="32"/>
      <c r="B69" s="24"/>
      <c r="C69" s="23"/>
      <c r="D69" s="23"/>
      <c r="E69" s="23"/>
      <c r="F69" s="23"/>
      <c r="G69" s="27"/>
    </row>
    <row r="70" spans="1:7">
      <c r="A70" s="32" t="s">
        <v>219</v>
      </c>
      <c r="B70" s="24">
        <f>+-1000*0.25</f>
        <v>-250</v>
      </c>
      <c r="C70" s="23"/>
      <c r="D70" s="23"/>
      <c r="E70" s="23"/>
      <c r="F70" s="23"/>
      <c r="G70" s="27" t="s">
        <v>220</v>
      </c>
    </row>
    <row r="71" spans="1:7">
      <c r="A71" s="32" t="s">
        <v>221</v>
      </c>
      <c r="B71" s="24">
        <f>1000*0.01</f>
        <v>10</v>
      </c>
      <c r="C71" s="23"/>
      <c r="D71" s="23"/>
      <c r="E71" s="23"/>
      <c r="F71" s="23"/>
      <c r="G71" s="27" t="s">
        <v>222</v>
      </c>
    </row>
    <row r="72" spans="1:7">
      <c r="A72" s="25"/>
      <c r="B72" s="23"/>
      <c r="C72" s="23"/>
      <c r="D72" s="23"/>
      <c r="E72" s="23"/>
      <c r="F72" s="23"/>
      <c r="G72" s="23"/>
    </row>
    <row r="73" spans="1:7">
      <c r="A73" s="44" t="s">
        <v>223</v>
      </c>
      <c r="B73" s="23"/>
      <c r="C73" s="23"/>
      <c r="D73" s="23"/>
      <c r="E73" s="23"/>
      <c r="F73" s="23"/>
      <c r="G73" s="23"/>
    </row>
    <row r="74" spans="1:7">
      <c r="A74" s="46" t="s">
        <v>224</v>
      </c>
    </row>
    <row r="75" spans="1:7">
      <c r="A75" s="46" t="s">
        <v>519</v>
      </c>
    </row>
    <row r="76" spans="1:7">
      <c r="A76" s="46"/>
      <c r="B76" s="22" t="s">
        <v>73</v>
      </c>
      <c r="C76" s="22" t="s">
        <v>520</v>
      </c>
    </row>
    <row r="77" spans="1:7">
      <c r="A77" s="46" t="s">
        <v>521</v>
      </c>
      <c r="B77" s="24">
        <v>60000</v>
      </c>
      <c r="C77" s="24">
        <v>8000</v>
      </c>
      <c r="D77" s="24"/>
      <c r="E77" s="24"/>
      <c r="F77" s="24"/>
    </row>
    <row r="78" spans="1:7">
      <c r="A78" s="46" t="s">
        <v>56</v>
      </c>
      <c r="B78" s="24">
        <v>-30000</v>
      </c>
      <c r="C78" s="24">
        <v>-4000</v>
      </c>
      <c r="D78" s="24"/>
      <c r="E78" s="24"/>
      <c r="F78" s="24"/>
    </row>
    <row r="79" spans="1:7" ht="13.5" thickBot="1">
      <c r="A79" s="46" t="s">
        <v>74</v>
      </c>
      <c r="B79" s="24">
        <v>7500</v>
      </c>
      <c r="C79" s="24">
        <v>6000</v>
      </c>
      <c r="D79" s="24"/>
      <c r="E79" s="24"/>
      <c r="F79" s="24"/>
    </row>
    <row r="80" spans="1:7" ht="13.5" thickTop="1">
      <c r="A80" s="46" t="s">
        <v>522</v>
      </c>
      <c r="B80" s="163">
        <v>37500</v>
      </c>
      <c r="C80" s="163">
        <v>10000</v>
      </c>
      <c r="D80" s="24"/>
      <c r="E80" s="24"/>
      <c r="F80" s="24"/>
    </row>
    <row r="81" spans="1:6">
      <c r="A81" s="46"/>
      <c r="B81" s="24"/>
      <c r="C81" s="24"/>
      <c r="D81" s="24"/>
      <c r="E81" s="24"/>
      <c r="F81" s="24"/>
    </row>
    <row r="82" spans="1:6">
      <c r="A82" s="46" t="s">
        <v>523</v>
      </c>
      <c r="B82" s="24" t="s">
        <v>524</v>
      </c>
      <c r="C82" s="24" t="s">
        <v>525</v>
      </c>
      <c r="D82" s="24">
        <v>30000</v>
      </c>
      <c r="E82" s="24"/>
      <c r="F82" s="24"/>
    </row>
    <row r="83" spans="1:6">
      <c r="A83" s="46"/>
      <c r="B83" s="24"/>
      <c r="C83" s="24" t="s">
        <v>526</v>
      </c>
      <c r="D83" s="24">
        <v>30000</v>
      </c>
      <c r="E83" s="24"/>
      <c r="F83" s="24"/>
    </row>
    <row r="84" spans="1:6">
      <c r="A84" s="46"/>
      <c r="B84" s="24"/>
      <c r="C84" s="24"/>
      <c r="D84" s="24"/>
      <c r="E84" s="24"/>
      <c r="F84" s="24"/>
    </row>
    <row r="85" spans="1:6">
      <c r="A85" s="46"/>
      <c r="B85" s="24"/>
      <c r="C85" s="24" t="s">
        <v>527</v>
      </c>
      <c r="D85" s="24">
        <v>4000</v>
      </c>
      <c r="E85" s="24"/>
      <c r="F85" s="24"/>
    </row>
    <row r="86" spans="1:6">
      <c r="A86" s="46"/>
      <c r="B86" s="24"/>
      <c r="C86" s="24" t="s">
        <v>528</v>
      </c>
      <c r="D86" s="24">
        <v>5000</v>
      </c>
      <c r="E86" s="24"/>
      <c r="F86" s="24"/>
    </row>
    <row r="87" spans="1:6">
      <c r="A87" s="46"/>
      <c r="B87" s="24"/>
      <c r="C87" s="24" t="s">
        <v>529</v>
      </c>
      <c r="D87" s="24">
        <v>1000</v>
      </c>
      <c r="E87" s="24"/>
      <c r="F87" s="24"/>
    </row>
    <row r="88" spans="1:6">
      <c r="A88" s="46"/>
      <c r="B88" s="24"/>
      <c r="C88" s="24"/>
      <c r="D88" s="24"/>
      <c r="E88" s="24"/>
      <c r="F88" s="24"/>
    </row>
    <row r="89" spans="1:6">
      <c r="A89" s="46" t="s">
        <v>530</v>
      </c>
      <c r="B89" s="24" t="s">
        <v>531</v>
      </c>
      <c r="C89" s="24" t="s">
        <v>532</v>
      </c>
      <c r="D89" s="24">
        <v>1000</v>
      </c>
      <c r="E89" s="24"/>
      <c r="F89" s="24"/>
    </row>
    <row r="90" spans="1:6">
      <c r="A90" s="46"/>
      <c r="B90" s="24"/>
      <c r="C90" s="24" t="s">
        <v>533</v>
      </c>
      <c r="D90" s="24">
        <v>1000</v>
      </c>
      <c r="E90" s="24"/>
      <c r="F90" s="24"/>
    </row>
    <row r="91" spans="1:6">
      <c r="A91" s="46"/>
      <c r="B91" s="24"/>
      <c r="C91" s="24"/>
      <c r="D91" s="24"/>
      <c r="E91" s="24"/>
      <c r="F91" s="24"/>
    </row>
    <row r="92" spans="1:6">
      <c r="A92" s="46"/>
      <c r="B92" s="24" t="s">
        <v>39</v>
      </c>
      <c r="C92" s="24" t="s">
        <v>534</v>
      </c>
      <c r="D92" s="24">
        <v>7500</v>
      </c>
      <c r="E92" s="24"/>
      <c r="F92" s="24"/>
    </row>
    <row r="93" spans="1:6">
      <c r="A93" s="46"/>
      <c r="B93" s="24"/>
      <c r="C93" s="24" t="s">
        <v>535</v>
      </c>
      <c r="D93" s="24">
        <v>6000</v>
      </c>
      <c r="E93" s="24"/>
      <c r="F93" s="24"/>
    </row>
    <row r="94" spans="1:6">
      <c r="A94" s="46"/>
      <c r="B94" s="24"/>
      <c r="C94" s="24" t="s">
        <v>536</v>
      </c>
      <c r="D94" s="24">
        <v>1500</v>
      </c>
      <c r="E94" s="24"/>
      <c r="F94" s="24"/>
    </row>
    <row r="95" spans="1:6">
      <c r="A95" s="46" t="s">
        <v>537</v>
      </c>
      <c r="B95" s="24"/>
      <c r="C95" s="24"/>
      <c r="D95" s="24"/>
      <c r="E95" s="24"/>
      <c r="F95" s="24"/>
    </row>
    <row r="96" spans="1:6">
      <c r="A96" s="46"/>
      <c r="B96" s="31" t="s">
        <v>189</v>
      </c>
      <c r="C96" s="31" t="s">
        <v>190</v>
      </c>
      <c r="D96" s="31" t="s">
        <v>191</v>
      </c>
      <c r="E96" s="31" t="s">
        <v>192</v>
      </c>
      <c r="F96" s="24"/>
    </row>
    <row r="97" spans="1:7">
      <c r="A97" s="46"/>
      <c r="B97" s="24">
        <v>-2000</v>
      </c>
      <c r="C97" s="24">
        <v>1000</v>
      </c>
      <c r="D97" s="24">
        <v>-1500</v>
      </c>
      <c r="E97" s="24">
        <v>-2500</v>
      </c>
      <c r="F97" s="24"/>
    </row>
    <row r="98" spans="1:7">
      <c r="A98" s="46" t="s">
        <v>538</v>
      </c>
      <c r="B98" s="24"/>
      <c r="C98" s="24">
        <v>-1000</v>
      </c>
      <c r="D98" s="24"/>
      <c r="E98" s="24"/>
      <c r="F98" s="24"/>
    </row>
    <row r="99" spans="1:7">
      <c r="A99" s="46"/>
      <c r="B99" s="24"/>
      <c r="C99" s="24"/>
      <c r="D99" s="24"/>
      <c r="E99" s="24"/>
      <c r="F99" s="24"/>
    </row>
    <row r="100" spans="1:7">
      <c r="A100" s="46" t="s">
        <v>539</v>
      </c>
      <c r="B100" s="24"/>
      <c r="C100" s="24"/>
      <c r="D100" s="24"/>
      <c r="E100" s="24"/>
      <c r="F100" s="24"/>
    </row>
    <row r="101" spans="1:7">
      <c r="A101" s="46" t="s">
        <v>524</v>
      </c>
      <c r="B101" s="24" t="s">
        <v>525</v>
      </c>
      <c r="C101" s="24">
        <v>30000</v>
      </c>
      <c r="D101" s="24"/>
      <c r="E101" s="24"/>
      <c r="F101" s="24"/>
    </row>
    <row r="102" spans="1:7">
      <c r="A102" s="46"/>
      <c r="B102" s="24" t="s">
        <v>526</v>
      </c>
      <c r="C102" s="24">
        <v>30000</v>
      </c>
      <c r="D102" s="24"/>
      <c r="E102" s="24"/>
      <c r="F102" s="24"/>
    </row>
    <row r="103" spans="1:7">
      <c r="A103" s="46" t="s">
        <v>540</v>
      </c>
      <c r="B103" s="24"/>
      <c r="C103" s="24"/>
      <c r="D103" s="24"/>
      <c r="E103" s="24"/>
      <c r="F103" s="24"/>
    </row>
    <row r="104" spans="1:7">
      <c r="A104" s="46"/>
      <c r="B104" s="24" t="s">
        <v>532</v>
      </c>
      <c r="C104" s="24">
        <v>1000</v>
      </c>
      <c r="D104" s="24"/>
      <c r="E104" s="24"/>
      <c r="F104" s="24"/>
    </row>
    <row r="105" spans="1:7">
      <c r="A105" s="46"/>
      <c r="B105" s="24" t="s">
        <v>541</v>
      </c>
      <c r="C105" s="24">
        <v>1000</v>
      </c>
      <c r="D105" s="24"/>
      <c r="E105" s="24"/>
      <c r="F105" s="24"/>
    </row>
    <row r="106" spans="1:7">
      <c r="A106" s="46"/>
      <c r="B106" s="24"/>
      <c r="C106" s="24"/>
      <c r="D106" s="24"/>
      <c r="E106" s="24"/>
      <c r="F106" s="24"/>
    </row>
    <row r="107" spans="1:7" s="159" customFormat="1">
      <c r="A107" s="159" t="s">
        <v>542</v>
      </c>
      <c r="B107" s="24" t="s">
        <v>527</v>
      </c>
      <c r="C107" s="24">
        <v>5000</v>
      </c>
      <c r="D107" s="24"/>
      <c r="E107" s="24"/>
      <c r="F107" s="24"/>
      <c r="G107" s="161"/>
    </row>
    <row r="108" spans="1:7" s="159" customFormat="1">
      <c r="B108" s="24" t="s">
        <v>528</v>
      </c>
      <c r="C108" s="24">
        <v>5000</v>
      </c>
      <c r="D108" s="24"/>
      <c r="E108" s="24"/>
      <c r="F108" s="24"/>
      <c r="G108" s="161"/>
    </row>
    <row r="109" spans="1:7" s="159" customFormat="1">
      <c r="B109" s="24"/>
      <c r="C109" s="24"/>
      <c r="D109" s="24"/>
      <c r="E109" s="24"/>
      <c r="F109" s="24"/>
    </row>
    <row r="110" spans="1:7" s="159" customFormat="1">
      <c r="A110" s="159" t="s">
        <v>39</v>
      </c>
      <c r="B110" s="24" t="s">
        <v>534</v>
      </c>
      <c r="C110" s="24">
        <v>7500</v>
      </c>
      <c r="D110" s="24"/>
      <c r="E110" s="24"/>
      <c r="F110" s="24"/>
      <c r="G110" s="161"/>
    </row>
    <row r="111" spans="1:7" s="159" customFormat="1">
      <c r="B111" s="24" t="s">
        <v>535</v>
      </c>
      <c r="C111" s="24">
        <v>6000</v>
      </c>
      <c r="D111" s="24"/>
      <c r="E111" s="24"/>
      <c r="F111" s="24"/>
      <c r="G111" s="161"/>
    </row>
    <row r="112" spans="1:7" s="159" customFormat="1">
      <c r="B112" s="24" t="s">
        <v>536</v>
      </c>
      <c r="C112" s="24">
        <v>1500</v>
      </c>
      <c r="D112" s="24"/>
      <c r="E112" s="24"/>
      <c r="F112" s="24"/>
      <c r="G112" s="161"/>
    </row>
    <row r="113" spans="1:13" s="159" customFormat="1">
      <c r="B113" s="24"/>
      <c r="C113" s="24"/>
      <c r="D113" s="24"/>
      <c r="E113" s="24"/>
      <c r="F113" s="24"/>
      <c r="G113" s="161"/>
    </row>
    <row r="114" spans="1:13" s="159" customFormat="1">
      <c r="A114" s="159" t="s">
        <v>543</v>
      </c>
      <c r="B114" s="24"/>
      <c r="C114" s="24"/>
      <c r="D114" s="24"/>
      <c r="E114" s="24"/>
      <c r="F114" s="24"/>
      <c r="G114" s="161"/>
    </row>
    <row r="115" spans="1:13" s="159" customFormat="1">
      <c r="B115" s="31" t="s">
        <v>189</v>
      </c>
      <c r="C115" s="31" t="s">
        <v>190</v>
      </c>
      <c r="D115" s="31" t="s">
        <v>191</v>
      </c>
      <c r="E115" s="31" t="s">
        <v>192</v>
      </c>
      <c r="F115" s="24"/>
      <c r="G115" s="161"/>
    </row>
    <row r="116" spans="1:13" s="159" customFormat="1">
      <c r="B116" s="24">
        <v>-2000</v>
      </c>
      <c r="C116" s="24">
        <v>0</v>
      </c>
      <c r="D116" s="24">
        <v>-500</v>
      </c>
      <c r="E116" s="24">
        <v>-2500</v>
      </c>
      <c r="F116" s="24"/>
      <c r="G116" s="161"/>
      <c r="J116" s="162"/>
    </row>
    <row r="117" spans="1:13" s="159" customFormat="1">
      <c r="B117" s="160"/>
      <c r="G117" s="161"/>
      <c r="J117" s="162"/>
    </row>
    <row r="118" spans="1:13">
      <c r="A118" s="48" t="s">
        <v>225</v>
      </c>
      <c r="B118" s="49"/>
      <c r="C118" s="50"/>
      <c r="D118" s="50"/>
      <c r="E118" s="50"/>
      <c r="F118" s="50"/>
      <c r="G118" s="26"/>
      <c r="J118" s="21"/>
      <c r="K118" s="24"/>
    </row>
    <row r="119" spans="1:13">
      <c r="A119" s="51" t="s">
        <v>226</v>
      </c>
      <c r="B119" s="52"/>
      <c r="C119" s="52"/>
      <c r="D119" s="52"/>
      <c r="E119" s="52"/>
      <c r="F119" s="52"/>
      <c r="G119" s="52"/>
      <c r="H119" s="24"/>
      <c r="J119" s="36"/>
    </row>
    <row r="120" spans="1:13">
      <c r="A120" s="53" t="s">
        <v>227</v>
      </c>
      <c r="B120" s="24">
        <f>PV(0.02,3,5000,100000)</f>
        <v>-108651.64981794333</v>
      </c>
      <c r="C120" s="52"/>
      <c r="D120" s="52"/>
      <c r="E120" s="52"/>
      <c r="F120" s="52"/>
      <c r="G120" s="54" t="s">
        <v>228</v>
      </c>
      <c r="H120" s="37"/>
      <c r="J120" s="21"/>
    </row>
    <row r="121" spans="1:13">
      <c r="A121" s="55" t="s">
        <v>229</v>
      </c>
      <c r="B121" s="24">
        <v>4000</v>
      </c>
      <c r="C121" s="52"/>
      <c r="D121" s="52"/>
      <c r="E121" s="56"/>
      <c r="F121" s="52"/>
      <c r="G121" s="52"/>
      <c r="J121" s="21"/>
    </row>
    <row r="122" spans="1:13">
      <c r="A122" s="55" t="s">
        <v>230</v>
      </c>
      <c r="B122" s="24">
        <f>+B120+B121</f>
        <v>-104651.64981794333</v>
      </c>
      <c r="C122" s="52"/>
      <c r="D122" s="52"/>
      <c r="E122" s="52"/>
      <c r="F122" s="52"/>
      <c r="G122" s="52"/>
      <c r="I122" s="57"/>
      <c r="J122" s="58"/>
      <c r="K122" s="59"/>
      <c r="M122" s="60"/>
    </row>
    <row r="123" spans="1:13">
      <c r="A123" s="51"/>
      <c r="B123" s="52"/>
      <c r="C123" s="52"/>
      <c r="D123" s="52"/>
      <c r="E123" s="52"/>
      <c r="F123" s="61"/>
      <c r="G123" s="52"/>
      <c r="J123" s="24"/>
      <c r="K123" s="59"/>
    </row>
    <row r="124" spans="1:13">
      <c r="A124" s="62" t="s">
        <v>231</v>
      </c>
      <c r="B124" s="61">
        <f>RATE(3,5000,B122,100000)</f>
        <v>3.3445936638862618E-2</v>
      </c>
      <c r="C124" s="52"/>
      <c r="D124" s="52"/>
      <c r="E124" s="61"/>
      <c r="F124" s="52"/>
      <c r="J124" s="24"/>
    </row>
    <row r="125" spans="1:13">
      <c r="A125" s="62"/>
      <c r="B125" s="61"/>
      <c r="C125" s="52"/>
      <c r="D125" s="52"/>
      <c r="E125" s="61"/>
      <c r="F125" s="52"/>
      <c r="I125" s="24"/>
      <c r="J125" s="21"/>
    </row>
    <row r="126" spans="1:13">
      <c r="A126" s="62" t="s">
        <v>232</v>
      </c>
      <c r="B126" s="63">
        <f>-(104652*(1.033446^0.25-1)-5000*3/12)</f>
        <v>385.71804690611737</v>
      </c>
      <c r="C126" s="64"/>
      <c r="D126" s="65"/>
      <c r="E126" s="65"/>
      <c r="F126" s="65"/>
      <c r="G126" s="66" t="s">
        <v>233</v>
      </c>
      <c r="I126" s="37"/>
      <c r="J126" s="21"/>
    </row>
    <row r="127" spans="1:13">
      <c r="A127" s="62" t="s">
        <v>234</v>
      </c>
      <c r="B127" s="63">
        <f>-(108652*(1.02^0.25-1)-5000*3/12)</f>
        <v>710.76755870825843</v>
      </c>
      <c r="C127" s="65"/>
      <c r="D127" s="65"/>
      <c r="E127" s="65"/>
      <c r="F127" s="65"/>
      <c r="G127" s="66" t="s">
        <v>235</v>
      </c>
      <c r="I127" s="37"/>
      <c r="J127" s="36"/>
      <c r="K127" s="59"/>
    </row>
    <row r="128" spans="1:13">
      <c r="A128" s="62" t="s">
        <v>236</v>
      </c>
      <c r="B128" s="63"/>
      <c r="C128" s="65"/>
      <c r="D128" s="65"/>
      <c r="E128" s="65"/>
      <c r="F128" s="65"/>
      <c r="G128" s="66"/>
      <c r="I128" s="37"/>
      <c r="J128" s="36"/>
      <c r="K128" s="59"/>
    </row>
    <row r="129" spans="1:10">
      <c r="B129" s="61"/>
      <c r="C129" s="52"/>
      <c r="D129" s="52"/>
      <c r="E129" s="61"/>
      <c r="F129" s="52"/>
      <c r="J129" s="21"/>
    </row>
    <row r="130" spans="1:10">
      <c r="A130" s="51"/>
      <c r="B130" s="67"/>
      <c r="C130" s="52"/>
      <c r="D130" s="52"/>
      <c r="E130" s="52"/>
      <c r="F130" s="52"/>
      <c r="G130" s="52"/>
      <c r="J130" s="21"/>
    </row>
    <row r="131" spans="1:10">
      <c r="A131" s="62" t="s">
        <v>237</v>
      </c>
      <c r="B131" s="68">
        <f>+B122*(1+B124)^0.25</f>
        <v>-105515.927261704</v>
      </c>
      <c r="C131" s="65"/>
      <c r="D131" s="65"/>
      <c r="E131" s="65"/>
      <c r="F131" s="65"/>
      <c r="G131" s="69" t="s">
        <v>238</v>
      </c>
      <c r="J131" s="21"/>
    </row>
    <row r="132" spans="1:10">
      <c r="A132" s="62" t="s">
        <v>239</v>
      </c>
      <c r="B132" s="68">
        <f>+B120*1.02^0.25</f>
        <v>-109190.88052130549</v>
      </c>
      <c r="C132" s="65"/>
      <c r="D132" s="65"/>
      <c r="E132" s="65"/>
      <c r="F132" s="65"/>
      <c r="G132" s="69" t="s">
        <v>240</v>
      </c>
      <c r="J132" s="21"/>
    </row>
    <row r="133" spans="1:10">
      <c r="A133" s="65" t="s">
        <v>61</v>
      </c>
      <c r="B133" s="68">
        <f>+B131-B132</f>
        <v>3674.9532596014906</v>
      </c>
      <c r="C133" s="65"/>
      <c r="D133" s="65"/>
      <c r="E133" s="65"/>
      <c r="F133" s="65"/>
      <c r="G133" s="65"/>
      <c r="J133" s="21"/>
    </row>
    <row r="134" spans="1:10">
      <c r="A134" s="65"/>
      <c r="B134" s="68"/>
      <c r="C134" s="65"/>
      <c r="D134" s="65"/>
      <c r="E134" s="65"/>
      <c r="F134" s="65"/>
      <c r="G134" s="65"/>
      <c r="J134" s="21"/>
    </row>
    <row r="135" spans="1:10">
      <c r="A135" s="62" t="s">
        <v>241</v>
      </c>
      <c r="B135" s="68"/>
      <c r="C135" s="65"/>
      <c r="D135" s="65"/>
      <c r="E135" s="65"/>
      <c r="F135" s="65"/>
      <c r="G135" s="65"/>
      <c r="J135" s="21"/>
    </row>
    <row r="136" spans="1:10">
      <c r="A136" s="48"/>
      <c r="B136" s="70"/>
      <c r="C136" s="52"/>
      <c r="D136" s="52"/>
      <c r="E136" s="52"/>
      <c r="F136" s="52"/>
      <c r="G136" s="71"/>
      <c r="J136" s="21"/>
    </row>
    <row r="137" spans="1:10">
      <c r="A137" s="62" t="s">
        <v>242</v>
      </c>
      <c r="B137" s="65"/>
      <c r="C137" s="65"/>
      <c r="D137" s="65"/>
      <c r="E137" s="65"/>
      <c r="F137" s="65"/>
      <c r="G137" s="65"/>
      <c r="J137" s="21"/>
    </row>
    <row r="138" spans="1:10">
      <c r="A138" s="62" t="s">
        <v>243</v>
      </c>
      <c r="B138" s="68">
        <f>+PV(B124,2,5000,100000)*(1+B124)^0.25</f>
        <v>-104003.71321581368</v>
      </c>
      <c r="C138" s="65"/>
      <c r="D138" s="65"/>
      <c r="E138" s="65"/>
      <c r="F138" s="65"/>
      <c r="G138" s="69" t="s">
        <v>244</v>
      </c>
      <c r="J138" s="21"/>
    </row>
    <row r="139" spans="1:10">
      <c r="A139" s="62" t="s">
        <v>245</v>
      </c>
      <c r="B139" s="68">
        <f>+PV(0.02,2,5000,100000)*(1+0.02)^0.25</f>
        <v>-106349.88347386559</v>
      </c>
      <c r="C139" s="65"/>
      <c r="D139" s="65"/>
      <c r="E139" s="65"/>
      <c r="F139" s="65"/>
      <c r="G139" s="69" t="s">
        <v>246</v>
      </c>
      <c r="J139" s="21"/>
    </row>
    <row r="140" spans="1:10">
      <c r="A140" s="65" t="s">
        <v>61</v>
      </c>
      <c r="B140" s="72">
        <f>+B138-B139</f>
        <v>2346.170258051905</v>
      </c>
      <c r="C140" s="72"/>
      <c r="D140" s="65"/>
      <c r="E140" s="65"/>
      <c r="F140" s="65"/>
      <c r="G140" s="65"/>
      <c r="J140" s="21"/>
    </row>
    <row r="141" spans="1:10">
      <c r="A141" s="72"/>
      <c r="B141" s="72"/>
      <c r="C141" s="72"/>
      <c r="D141" s="65"/>
      <c r="E141" s="65"/>
      <c r="F141" s="65"/>
      <c r="G141" s="65"/>
      <c r="J141" s="21"/>
    </row>
    <row r="142" spans="1:10">
      <c r="A142" s="62" t="s">
        <v>247</v>
      </c>
      <c r="B142" s="65"/>
      <c r="C142" s="65"/>
      <c r="D142" s="65"/>
      <c r="E142" s="65"/>
      <c r="F142" s="65"/>
      <c r="G142" s="65"/>
      <c r="J142" s="21"/>
    </row>
    <row r="143" spans="1:10">
      <c r="A143" s="73" t="s">
        <v>248</v>
      </c>
      <c r="B143" s="70">
        <f>-((B133-B140)*0.26+B140*0.27)</f>
        <v>-978.94955007690658</v>
      </c>
      <c r="C143" s="65"/>
      <c r="D143" s="65"/>
      <c r="E143" s="65"/>
      <c r="F143" s="65"/>
      <c r="G143" s="66" t="s">
        <v>249</v>
      </c>
      <c r="J143" s="21"/>
    </row>
    <row r="144" spans="1:10">
      <c r="J144" s="21"/>
    </row>
    <row r="145" spans="1:10" s="23" customFormat="1">
      <c r="A145" s="74" t="s">
        <v>250</v>
      </c>
      <c r="B145" s="34"/>
      <c r="C145" s="34"/>
      <c r="D145" s="34"/>
      <c r="E145" s="34"/>
      <c r="F145" s="34"/>
      <c r="G145" s="34"/>
      <c r="J145" s="25"/>
    </row>
    <row r="146" spans="1:10" s="23" customFormat="1">
      <c r="A146" s="75" t="s">
        <v>251</v>
      </c>
      <c r="B146" s="34"/>
      <c r="C146" s="34"/>
      <c r="D146" s="34"/>
      <c r="E146" s="34"/>
      <c r="F146" s="34"/>
      <c r="G146" s="34"/>
      <c r="J146" s="25"/>
    </row>
    <row r="147" spans="1:10" s="23" customFormat="1">
      <c r="A147" s="74" t="s">
        <v>252</v>
      </c>
      <c r="B147" s="34"/>
      <c r="C147" s="34"/>
      <c r="D147" s="34"/>
      <c r="E147" s="34"/>
      <c r="F147" s="34"/>
      <c r="G147" s="34"/>
      <c r="J147" s="25"/>
    </row>
    <row r="148" spans="1:10" s="23" customFormat="1">
      <c r="A148" s="76" t="s">
        <v>253</v>
      </c>
      <c r="B148" s="68">
        <v>40000</v>
      </c>
      <c r="C148" s="34"/>
      <c r="D148" s="34"/>
      <c r="E148" s="34"/>
      <c r="F148" s="34"/>
      <c r="G148" s="34"/>
      <c r="J148" s="25"/>
    </row>
    <row r="149" spans="1:10" s="23" customFormat="1">
      <c r="A149" s="76" t="s">
        <v>254</v>
      </c>
      <c r="B149" s="68">
        <f>30000*4.5/5</f>
        <v>27000</v>
      </c>
      <c r="C149" s="34"/>
      <c r="D149" s="34"/>
      <c r="E149" s="34"/>
      <c r="F149" s="34"/>
      <c r="G149" s="35" t="s">
        <v>255</v>
      </c>
      <c r="J149" s="25"/>
    </row>
    <row r="150" spans="1:10" s="23" customFormat="1">
      <c r="A150" s="76" t="s">
        <v>61</v>
      </c>
      <c r="B150" s="68">
        <f>+B148-B149</f>
        <v>13000</v>
      </c>
      <c r="C150" s="34"/>
      <c r="D150" s="34"/>
      <c r="E150" s="34"/>
      <c r="F150" s="34"/>
      <c r="G150" s="34"/>
      <c r="J150" s="25"/>
    </row>
    <row r="151" spans="1:10" s="23" customFormat="1">
      <c r="A151" s="74" t="s">
        <v>256</v>
      </c>
      <c r="B151" s="70">
        <f>-B150*0.25</f>
        <v>-3250</v>
      </c>
      <c r="C151" s="34"/>
      <c r="D151" s="34"/>
      <c r="E151" s="34"/>
      <c r="F151" s="34"/>
      <c r="G151" s="32" t="s">
        <v>257</v>
      </c>
      <c r="J151" s="25"/>
    </row>
    <row r="152" spans="1:10" s="23" customFormat="1">
      <c r="A152" s="74"/>
      <c r="B152" s="70"/>
      <c r="C152" s="34"/>
      <c r="D152" s="34"/>
      <c r="E152" s="34"/>
      <c r="F152" s="34"/>
      <c r="G152" s="32"/>
      <c r="J152" s="25"/>
    </row>
    <row r="153" spans="1:10" s="23" customFormat="1">
      <c r="A153" s="76" t="s">
        <v>258</v>
      </c>
      <c r="B153" s="68">
        <f>40000/4.5</f>
        <v>8888.8888888888887</v>
      </c>
      <c r="C153" s="34"/>
      <c r="D153" s="34"/>
      <c r="E153" s="34"/>
      <c r="F153" s="34"/>
      <c r="G153" s="32" t="s">
        <v>259</v>
      </c>
      <c r="J153" s="25"/>
    </row>
    <row r="154" spans="1:10" s="23" customFormat="1">
      <c r="A154" s="76" t="s">
        <v>260</v>
      </c>
      <c r="B154" s="68">
        <v>6000</v>
      </c>
      <c r="C154" s="34"/>
      <c r="D154" s="34"/>
      <c r="E154" s="34"/>
      <c r="F154" s="34"/>
      <c r="G154" s="35" t="s">
        <v>261</v>
      </c>
      <c r="J154" s="25"/>
    </row>
    <row r="155" spans="1:10" s="23" customFormat="1">
      <c r="A155" s="76"/>
      <c r="B155" s="68"/>
      <c r="C155" s="34"/>
      <c r="D155" s="34"/>
      <c r="E155" s="34"/>
      <c r="F155" s="34"/>
      <c r="G155" s="35"/>
      <c r="J155" s="25"/>
    </row>
    <row r="156" spans="1:10" s="23" customFormat="1">
      <c r="A156" s="74" t="s">
        <v>262</v>
      </c>
      <c r="B156" s="68">
        <v>15000</v>
      </c>
      <c r="C156" s="34"/>
      <c r="D156" s="34"/>
      <c r="E156" s="34"/>
      <c r="F156" s="34"/>
      <c r="G156" s="34"/>
      <c r="J156" s="25"/>
    </row>
    <row r="157" spans="1:10" s="23" customFormat="1">
      <c r="A157" s="74" t="s">
        <v>263</v>
      </c>
      <c r="B157" s="68">
        <f>30000*3.5/5</f>
        <v>21000</v>
      </c>
      <c r="C157" s="34"/>
      <c r="D157" s="34"/>
      <c r="E157" s="34"/>
      <c r="F157" s="34"/>
      <c r="G157" s="32" t="s">
        <v>264</v>
      </c>
      <c r="J157" s="25"/>
    </row>
    <row r="158" spans="1:10" s="23" customFormat="1">
      <c r="A158" s="74"/>
      <c r="B158" s="68"/>
      <c r="C158" s="34"/>
      <c r="D158" s="34"/>
      <c r="E158" s="34"/>
      <c r="F158" s="34"/>
      <c r="G158" s="34"/>
      <c r="J158" s="25"/>
    </row>
    <row r="159" spans="1:10" s="23" customFormat="1">
      <c r="A159" s="74" t="s">
        <v>265</v>
      </c>
      <c r="B159" s="68">
        <f>-B151*3.5/4.5</f>
        <v>2527.7777777777778</v>
      </c>
      <c r="C159" s="34"/>
      <c r="D159" s="34"/>
      <c r="E159" s="34"/>
      <c r="F159" s="34"/>
      <c r="G159" s="32" t="s">
        <v>266</v>
      </c>
      <c r="J159" s="25"/>
    </row>
    <row r="160" spans="1:10" s="23" customFormat="1">
      <c r="A160" s="74"/>
      <c r="B160" s="68"/>
      <c r="C160" s="34"/>
      <c r="D160" s="34"/>
      <c r="E160" s="34"/>
      <c r="F160" s="34"/>
      <c r="G160" s="77"/>
      <c r="J160" s="25"/>
    </row>
    <row r="161" spans="1:10" s="23" customFormat="1">
      <c r="A161" s="74" t="s">
        <v>267</v>
      </c>
      <c r="B161" s="68">
        <f>+-B151/4.5</f>
        <v>722.22222222222217</v>
      </c>
      <c r="C161" s="34"/>
      <c r="D161" s="34"/>
      <c r="E161" s="34"/>
      <c r="F161" s="34"/>
      <c r="G161" s="32" t="s">
        <v>268</v>
      </c>
      <c r="J161" s="25"/>
    </row>
    <row r="162" spans="1:10" s="23" customFormat="1">
      <c r="A162" s="74" t="s">
        <v>269</v>
      </c>
      <c r="B162" s="68">
        <f>(21000-15000)*(1/3.5*0.26+2.5/3.5*0.27)</f>
        <v>1602.8571428571427</v>
      </c>
      <c r="C162" s="34"/>
      <c r="D162" s="34"/>
      <c r="E162" s="34"/>
      <c r="F162" s="34"/>
      <c r="G162" s="35" t="s">
        <v>270</v>
      </c>
      <c r="J162" s="25"/>
    </row>
    <row r="163" spans="1:10" s="23" customFormat="1">
      <c r="A163" s="74" t="s">
        <v>271</v>
      </c>
      <c r="B163" s="68">
        <f>+B162+B161</f>
        <v>2325.0793650793648</v>
      </c>
      <c r="C163" s="34"/>
      <c r="D163" s="34"/>
      <c r="E163" s="34"/>
      <c r="F163" s="34"/>
      <c r="G163" s="35"/>
      <c r="J163" s="25"/>
    </row>
    <row r="164" spans="1:10" s="23" customFormat="1">
      <c r="A164" s="74"/>
      <c r="B164" s="78"/>
      <c r="C164" s="34"/>
      <c r="D164" s="34"/>
      <c r="E164" s="34"/>
      <c r="F164" s="34"/>
      <c r="G164" s="35"/>
      <c r="J164" s="25"/>
    </row>
    <row r="165" spans="1:10" s="23" customFormat="1">
      <c r="A165" s="74" t="s">
        <v>272</v>
      </c>
      <c r="B165" s="68">
        <f>+B162</f>
        <v>1602.8571428571427</v>
      </c>
      <c r="C165" s="34"/>
      <c r="D165" s="34"/>
      <c r="E165" s="34"/>
      <c r="F165" s="34"/>
      <c r="G165" s="35" t="s">
        <v>270</v>
      </c>
      <c r="J165" s="25"/>
    </row>
    <row r="166" spans="1:10" s="23" customFormat="1">
      <c r="A166" s="76" t="s">
        <v>273</v>
      </c>
      <c r="B166" s="34"/>
      <c r="C166" s="34"/>
      <c r="D166" s="34"/>
      <c r="E166" s="34"/>
      <c r="F166" s="34"/>
      <c r="G166" s="34"/>
      <c r="J166" s="25"/>
    </row>
    <row r="167" spans="1:10" s="23" customFormat="1">
      <c r="A167" s="76"/>
      <c r="B167" s="34"/>
      <c r="C167" s="34"/>
      <c r="D167" s="34"/>
      <c r="E167" s="34"/>
      <c r="F167" s="34"/>
      <c r="G167" s="34"/>
      <c r="J167" s="25"/>
    </row>
    <row r="168" spans="1:10" s="23" customFormat="1">
      <c r="A168" s="76" t="s">
        <v>274</v>
      </c>
      <c r="B168" s="68">
        <f>30000*3.5/5-15000</f>
        <v>6000</v>
      </c>
      <c r="C168" s="34"/>
      <c r="D168" s="34"/>
      <c r="E168" s="34"/>
      <c r="F168" s="34"/>
      <c r="G168" s="32" t="s">
        <v>275</v>
      </c>
      <c r="J168" s="25"/>
    </row>
    <row r="169" spans="1:10" s="23" customFormat="1">
      <c r="A169" s="76"/>
      <c r="B169" s="68"/>
      <c r="C169" s="34"/>
      <c r="D169" s="34"/>
      <c r="E169" s="34"/>
      <c r="F169" s="34"/>
      <c r="G169" s="35"/>
      <c r="J169" s="25"/>
    </row>
    <row r="170" spans="1:10" s="23" customFormat="1">
      <c r="A170" s="74" t="s">
        <v>276</v>
      </c>
      <c r="J170" s="25"/>
    </row>
    <row r="171" spans="1:10">
      <c r="A171" s="75" t="s">
        <v>277</v>
      </c>
      <c r="E171" s="79"/>
      <c r="F171" s="79"/>
    </row>
    <row r="172" spans="1:10">
      <c r="A172" s="80" t="s">
        <v>278</v>
      </c>
      <c r="F172" s="79"/>
    </row>
    <row r="173" spans="1:10">
      <c r="A173" s="22" t="s">
        <v>279</v>
      </c>
      <c r="C173" s="81">
        <v>0</v>
      </c>
    </row>
    <row r="174" spans="1:10">
      <c r="A174" s="22" t="s">
        <v>280</v>
      </c>
      <c r="C174" s="81">
        <f>50000*0.666666666666667</f>
        <v>33333.33333333335</v>
      </c>
      <c r="G174" s="38" t="s">
        <v>281</v>
      </c>
    </row>
    <row r="175" spans="1:10" s="23" customFormat="1">
      <c r="A175" s="22" t="s">
        <v>61</v>
      </c>
      <c r="B175" s="22"/>
      <c r="C175" s="81">
        <f>C173+C174</f>
        <v>33333.33333333335</v>
      </c>
      <c r="F175" s="22"/>
      <c r="J175" s="25"/>
    </row>
    <row r="176" spans="1:10" s="23" customFormat="1">
      <c r="A176" s="22" t="s">
        <v>282</v>
      </c>
      <c r="B176" s="22"/>
      <c r="C176" s="82">
        <v>0.25</v>
      </c>
      <c r="F176" s="22"/>
      <c r="J176" s="25"/>
    </row>
    <row r="177" spans="1:10" s="23" customFormat="1">
      <c r="A177" s="22" t="s">
        <v>283</v>
      </c>
      <c r="B177" s="22"/>
      <c r="C177" s="81">
        <f>+C176*C175</f>
        <v>8333.3333333333376</v>
      </c>
      <c r="F177" s="22"/>
      <c r="J177" s="25"/>
    </row>
    <row r="178" spans="1:10" s="23" customFormat="1">
      <c r="A178" s="32"/>
      <c r="B178" s="33"/>
      <c r="C178" s="34"/>
      <c r="D178" s="34"/>
      <c r="E178" s="34"/>
      <c r="F178" s="34"/>
      <c r="G178" s="34"/>
      <c r="J178" s="25"/>
    </row>
    <row r="179" spans="1:10" s="23" customFormat="1">
      <c r="A179" s="80" t="s">
        <v>284</v>
      </c>
      <c r="B179" s="33"/>
      <c r="D179" s="79"/>
      <c r="E179" s="34"/>
      <c r="F179" s="34"/>
      <c r="G179" s="34"/>
      <c r="J179" s="25"/>
    </row>
    <row r="180" spans="1:10">
      <c r="A180" s="22" t="s">
        <v>279</v>
      </c>
      <c r="C180" s="81">
        <v>0</v>
      </c>
      <c r="D180" s="79"/>
    </row>
    <row r="181" spans="1:10">
      <c r="A181" s="22" t="s">
        <v>280</v>
      </c>
      <c r="C181" s="81">
        <f>50000/3+70000*0.666666666666667</f>
        <v>63333.333333333358</v>
      </c>
      <c r="F181" s="79"/>
      <c r="G181" s="38" t="s">
        <v>285</v>
      </c>
    </row>
    <row r="182" spans="1:10">
      <c r="A182" s="22" t="s">
        <v>61</v>
      </c>
      <c r="C182" s="81">
        <f>C180+C181</f>
        <v>63333.333333333358</v>
      </c>
      <c r="D182" s="79"/>
    </row>
    <row r="183" spans="1:10">
      <c r="C183" s="81"/>
      <c r="D183" s="79"/>
    </row>
    <row r="184" spans="1:10">
      <c r="A184" s="22" t="s">
        <v>286</v>
      </c>
      <c r="C184" s="81"/>
      <c r="D184" s="79"/>
    </row>
    <row r="185" spans="1:10">
      <c r="A185" s="79" t="s">
        <v>287</v>
      </c>
      <c r="C185" s="81">
        <v>0</v>
      </c>
    </row>
    <row r="186" spans="1:10">
      <c r="A186" s="79" t="s">
        <v>288</v>
      </c>
      <c r="C186" s="81">
        <f>70000/3</f>
        <v>23333.333333333332</v>
      </c>
      <c r="G186" s="38" t="s">
        <v>289</v>
      </c>
    </row>
    <row r="187" spans="1:10">
      <c r="C187" s="81"/>
    </row>
    <row r="188" spans="1:10">
      <c r="A188" s="22" t="s">
        <v>290</v>
      </c>
      <c r="C188" s="81">
        <f>+(C182-C186)*0.26+C186*0.27</f>
        <v>16700.000000000007</v>
      </c>
      <c r="G188" s="38" t="s">
        <v>291</v>
      </c>
    </row>
    <row r="189" spans="1:10">
      <c r="C189" s="81"/>
      <c r="G189" s="38"/>
    </row>
    <row r="190" spans="1:10">
      <c r="A190" s="164" t="s">
        <v>544</v>
      </c>
      <c r="C190" s="81"/>
      <c r="G190" s="38"/>
    </row>
    <row r="191" spans="1:10">
      <c r="C191" s="81"/>
      <c r="G191" s="38"/>
    </row>
    <row r="192" spans="1:10" ht="14.25">
      <c r="A192" s="165" t="s">
        <v>277</v>
      </c>
      <c r="B192"/>
      <c r="C192"/>
      <c r="D192"/>
      <c r="E192" s="166"/>
      <c r="F192" s="166"/>
      <c r="G192"/>
    </row>
    <row r="193" spans="1:7" ht="14.25">
      <c r="A193" s="2" t="s">
        <v>278</v>
      </c>
      <c r="B193"/>
      <c r="C193"/>
      <c r="D193"/>
      <c r="E193"/>
      <c r="F193" s="166"/>
      <c r="G193"/>
    </row>
    <row r="194" spans="1:7" ht="14.25">
      <c r="A194" t="s">
        <v>279</v>
      </c>
      <c r="B194"/>
      <c r="C194" s="167">
        <v>0</v>
      </c>
      <c r="D194"/>
      <c r="E194"/>
      <c r="F194"/>
      <c r="G194"/>
    </row>
    <row r="195" spans="1:7" ht="14.25">
      <c r="A195" t="s">
        <v>280</v>
      </c>
      <c r="B195"/>
      <c r="C195" s="167">
        <f>50000*2.5/3</f>
        <v>41666.666666666664</v>
      </c>
      <c r="D195"/>
      <c r="E195"/>
      <c r="F195"/>
      <c r="G195"/>
    </row>
    <row r="196" spans="1:7" ht="14.25">
      <c r="A196" t="s">
        <v>61</v>
      </c>
      <c r="B196"/>
      <c r="C196" s="167">
        <f>C194+C195</f>
        <v>41666.666666666664</v>
      </c>
      <c r="D196" s="18"/>
      <c r="E196" s="18"/>
      <c r="F196"/>
      <c r="G196" s="168" t="s">
        <v>545</v>
      </c>
    </row>
    <row r="197" spans="1:7" ht="14.25">
      <c r="A197" t="s">
        <v>282</v>
      </c>
      <c r="B197"/>
      <c r="C197" s="16">
        <v>0.25</v>
      </c>
      <c r="D197" s="18"/>
      <c r="E197" s="18"/>
      <c r="F197"/>
      <c r="G197" s="18"/>
    </row>
    <row r="198" spans="1:7" ht="14.25">
      <c r="A198" t="s">
        <v>283</v>
      </c>
      <c r="B198"/>
      <c r="C198" s="167">
        <f>+C197*C196</f>
        <v>10416.666666666666</v>
      </c>
      <c r="D198" s="18"/>
      <c r="E198" s="18"/>
      <c r="F198"/>
      <c r="G198" s="18"/>
    </row>
    <row r="199" spans="1:7">
      <c r="A199" s="76"/>
      <c r="B199" s="33"/>
      <c r="C199" s="34"/>
      <c r="D199" s="34"/>
      <c r="E199" s="34"/>
      <c r="F199" s="34"/>
      <c r="G199" s="34"/>
    </row>
    <row r="200" spans="1:7" ht="14.25">
      <c r="A200" s="2" t="s">
        <v>284</v>
      </c>
      <c r="B200" s="33"/>
      <c r="C200" s="18"/>
      <c r="D200" s="166"/>
      <c r="E200" s="34"/>
      <c r="F200" s="34"/>
      <c r="G200" s="34"/>
    </row>
    <row r="201" spans="1:7" ht="14.25">
      <c r="A201" t="s">
        <v>279</v>
      </c>
      <c r="B201"/>
      <c r="C201" s="167">
        <v>0</v>
      </c>
      <c r="D201" s="166"/>
      <c r="E201"/>
      <c r="F201"/>
      <c r="G201"/>
    </row>
    <row r="202" spans="1:7" ht="14.25">
      <c r="A202" t="s">
        <v>280</v>
      </c>
      <c r="B202"/>
      <c r="C202" s="168">
        <f>(50000*1.5/3+70000*2.5/3)</f>
        <v>83333.333333333343</v>
      </c>
      <c r="D202"/>
      <c r="E202"/>
      <c r="F202" s="166"/>
      <c r="G202" s="168" t="s">
        <v>546</v>
      </c>
    </row>
    <row r="203" spans="1:7" ht="14.25">
      <c r="A203" t="s">
        <v>61</v>
      </c>
      <c r="B203"/>
      <c r="C203" s="167">
        <f>C201+C202</f>
        <v>83333.333333333343</v>
      </c>
      <c r="D203" s="166"/>
      <c r="E203"/>
      <c r="F203"/>
      <c r="G203"/>
    </row>
    <row r="204" spans="1:7" ht="14.25">
      <c r="A204"/>
      <c r="B204"/>
      <c r="C204" s="167"/>
      <c r="D204" s="166"/>
      <c r="E204"/>
      <c r="F204"/>
      <c r="G204"/>
    </row>
    <row r="205" spans="1:7" ht="14.25">
      <c r="A205" t="s">
        <v>286</v>
      </c>
      <c r="B205"/>
      <c r="C205" s="167"/>
      <c r="D205" s="166"/>
      <c r="E205"/>
      <c r="F205"/>
      <c r="G205"/>
    </row>
    <row r="206" spans="1:7" ht="14.25">
      <c r="A206" s="166" t="s">
        <v>287</v>
      </c>
      <c r="B206"/>
      <c r="C206" s="167">
        <v>0</v>
      </c>
      <c r="D206"/>
      <c r="E206"/>
      <c r="F206"/>
      <c r="G206"/>
    </row>
    <row r="207" spans="1:7" ht="14.25">
      <c r="A207" s="166" t="s">
        <v>288</v>
      </c>
      <c r="B207"/>
      <c r="C207" s="168">
        <f>50000*0.5/3+70000*1.5/3</f>
        <v>43333.333333333336</v>
      </c>
      <c r="D207"/>
      <c r="E207"/>
      <c r="F207"/>
      <c r="G207" s="168" t="s">
        <v>547</v>
      </c>
    </row>
    <row r="208" spans="1:7" ht="14.25">
      <c r="A208"/>
      <c r="B208"/>
      <c r="C208" s="167"/>
      <c r="D208"/>
      <c r="E208"/>
      <c r="F208"/>
      <c r="G208"/>
    </row>
    <row r="209" spans="1:7" ht="14.25">
      <c r="A209" t="s">
        <v>290</v>
      </c>
      <c r="B209"/>
      <c r="C209" s="167">
        <f>+(C203-C207)*0.26+C207*0.27</f>
        <v>22100.000000000004</v>
      </c>
      <c r="D209"/>
      <c r="E209"/>
      <c r="F209"/>
      <c r="G209" s="168" t="s">
        <v>548</v>
      </c>
    </row>
    <row r="210" spans="1:7" ht="14.25">
      <c r="A210"/>
      <c r="B210"/>
      <c r="C210" s="167"/>
      <c r="D210"/>
      <c r="E210"/>
      <c r="F210"/>
      <c r="G210"/>
    </row>
    <row r="211" spans="1:7">
      <c r="A211" s="83" t="s">
        <v>292</v>
      </c>
      <c r="B211" s="23"/>
      <c r="C211" s="23"/>
      <c r="D211" s="23"/>
      <c r="E211" s="23"/>
      <c r="F211" s="23"/>
      <c r="G211" s="23"/>
    </row>
    <row r="212" spans="1:7" ht="14.25">
      <c r="A212" s="23" t="s">
        <v>293</v>
      </c>
      <c r="B212" s="84">
        <v>0.1</v>
      </c>
      <c r="C212" s="23"/>
      <c r="D212" s="23"/>
      <c r="E212" s="23"/>
      <c r="F212" s="23"/>
      <c r="G212" s="27" t="s">
        <v>294</v>
      </c>
    </row>
    <row r="213" spans="1:7">
      <c r="B213" s="85"/>
      <c r="C213" s="23"/>
      <c r="D213" s="23"/>
      <c r="E213" s="23"/>
      <c r="F213" s="23"/>
      <c r="G213" s="27"/>
    </row>
    <row r="214" spans="1:7">
      <c r="A214" s="86" t="s">
        <v>295</v>
      </c>
      <c r="B214" s="85"/>
      <c r="C214" s="23"/>
      <c r="D214" s="23"/>
      <c r="E214" s="23"/>
      <c r="F214" s="23"/>
      <c r="G214" s="27"/>
    </row>
    <row r="215" spans="1:7">
      <c r="A215" s="29" t="s">
        <v>296</v>
      </c>
      <c r="B215" s="24">
        <v>-3000</v>
      </c>
      <c r="C215" s="23"/>
      <c r="D215" s="23"/>
      <c r="E215" s="23"/>
      <c r="F215" s="23"/>
      <c r="G215" s="27"/>
    </row>
    <row r="216" spans="1:7">
      <c r="A216" s="29" t="s">
        <v>297</v>
      </c>
      <c r="B216" s="24">
        <v>1000</v>
      </c>
      <c r="C216" s="23"/>
      <c r="D216" s="23"/>
      <c r="E216" s="23"/>
      <c r="F216" s="23"/>
      <c r="G216" s="27"/>
    </row>
    <row r="217" spans="1:7">
      <c r="A217" s="87" t="s">
        <v>298</v>
      </c>
      <c r="B217" s="47">
        <f>+B218-B215-B216</f>
        <v>-2000</v>
      </c>
      <c r="C217" s="23"/>
      <c r="D217" s="23"/>
      <c r="E217" s="23"/>
      <c r="F217" s="23"/>
      <c r="G217" s="27"/>
    </row>
    <row r="218" spans="1:7">
      <c r="A218" s="29" t="s">
        <v>299</v>
      </c>
      <c r="B218" s="24">
        <f>+-40000*0.1</f>
        <v>-4000</v>
      </c>
      <c r="C218" s="23"/>
      <c r="D218" s="23"/>
      <c r="E218" s="23"/>
      <c r="F218" s="23"/>
      <c r="G218" s="27" t="s">
        <v>300</v>
      </c>
    </row>
    <row r="219" spans="1:7">
      <c r="A219" s="25"/>
      <c r="B219" s="24"/>
      <c r="C219" s="23"/>
      <c r="D219" s="23"/>
      <c r="E219" s="23"/>
      <c r="F219" s="23"/>
      <c r="G219" s="23"/>
    </row>
    <row r="220" spans="1:7">
      <c r="A220" s="25" t="s">
        <v>301</v>
      </c>
      <c r="B220" s="24">
        <f>3000*0.25</f>
        <v>750</v>
      </c>
      <c r="C220" s="23"/>
      <c r="D220" s="23"/>
      <c r="E220" s="23"/>
      <c r="F220" s="23"/>
      <c r="G220" s="27" t="s">
        <v>302</v>
      </c>
    </row>
    <row r="221" spans="1:7">
      <c r="A221" s="25" t="s">
        <v>303</v>
      </c>
      <c r="B221" s="24">
        <f>4000*0.26</f>
        <v>1040</v>
      </c>
      <c r="C221" s="23"/>
      <c r="D221" s="23"/>
      <c r="E221" s="23"/>
      <c r="F221" s="23"/>
      <c r="G221" s="27" t="s">
        <v>304</v>
      </c>
    </row>
  </sheetData>
  <sheetProtection password="D3EB" sheet="1" objects="1" scenarios="1"/>
  <pageMargins left="0.75" right="0.75" top="1" bottom="1" header="0.5" footer="0.5"/>
  <pageSetup paperSize="9" scale="61" orientation="portrait" r:id="rId1"/>
  <headerFooter alignWithMargins="0"/>
  <rowBreaks count="1" manualBreakCount="1">
    <brk id="6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rightToLeft="1" topLeftCell="A83" zoomScaleNormal="100" workbookViewId="0">
      <selection activeCell="C62" sqref="C62"/>
    </sheetView>
  </sheetViews>
  <sheetFormatPr defaultColWidth="9" defaultRowHeight="13.5" customHeight="1"/>
  <cols>
    <col min="1" max="1" width="16.875" style="123" customWidth="1"/>
    <col min="2" max="3" width="13.125" style="112" customWidth="1"/>
    <col min="4" max="4" width="9.125" style="113" bestFit="1" customWidth="1"/>
    <col min="5" max="5" width="9.125" style="113" customWidth="1"/>
    <col min="6" max="6" width="9" style="113"/>
    <col min="7" max="7" width="16.875" style="123" customWidth="1"/>
    <col min="8" max="8" width="14.625" style="112" customWidth="1"/>
    <col min="9" max="9" width="13.125" style="112" customWidth="1"/>
    <col min="10" max="10" width="14" style="113" bestFit="1" customWidth="1"/>
    <col min="11" max="12" width="9.875" style="113" bestFit="1" customWidth="1"/>
    <col min="13" max="13" width="9.875" style="114" bestFit="1" customWidth="1"/>
    <col min="14" max="16384" width="9" style="114"/>
  </cols>
  <sheetData>
    <row r="1" spans="1:12" ht="13.5" customHeight="1">
      <c r="A1" s="111"/>
      <c r="G1" s="111"/>
    </row>
    <row r="2" spans="1:12" ht="13.5" customHeight="1">
      <c r="A2" s="115" t="s">
        <v>408</v>
      </c>
      <c r="G2" s="115" t="s">
        <v>409</v>
      </c>
    </row>
    <row r="3" spans="1:12" ht="13.5" customHeight="1">
      <c r="A3" s="116"/>
      <c r="G3" s="117" t="s">
        <v>410</v>
      </c>
    </row>
    <row r="4" spans="1:12" ht="13.5" customHeight="1">
      <c r="A4" s="118" t="s">
        <v>411</v>
      </c>
      <c r="B4" s="119"/>
      <c r="C4" s="119">
        <v>250000</v>
      </c>
      <c r="G4" s="118" t="s">
        <v>142</v>
      </c>
      <c r="H4" s="119">
        <v>250000</v>
      </c>
    </row>
    <row r="5" spans="1:12" ht="13.5" customHeight="1" thickBot="1">
      <c r="A5" s="116" t="s">
        <v>45</v>
      </c>
      <c r="C5" s="112">
        <f>70000*0.3</f>
        <v>21000</v>
      </c>
      <c r="G5" s="120" t="s">
        <v>412</v>
      </c>
      <c r="H5" s="121">
        <f>-170000*0.3</f>
        <v>-51000</v>
      </c>
    </row>
    <row r="6" spans="1:12" ht="13.5" customHeight="1">
      <c r="A6" s="116" t="s">
        <v>413</v>
      </c>
      <c r="C6" s="112">
        <f>-H8/8.5*75%</f>
        <v>-225</v>
      </c>
      <c r="G6" s="116" t="s">
        <v>414</v>
      </c>
      <c r="H6" s="112">
        <f>SUM(H4:H5)</f>
        <v>199000</v>
      </c>
    </row>
    <row r="7" spans="1:12" ht="12.75" customHeight="1">
      <c r="A7" s="116" t="s">
        <v>415</v>
      </c>
      <c r="C7" s="112">
        <f>1000*(25-22)*75%*30%</f>
        <v>675</v>
      </c>
      <c r="G7" s="116" t="s">
        <v>416</v>
      </c>
      <c r="H7" s="122">
        <v>40909</v>
      </c>
      <c r="I7" s="114"/>
      <c r="J7" s="114"/>
      <c r="K7" s="114"/>
      <c r="L7" s="114"/>
    </row>
    <row r="8" spans="1:12" ht="13.5" customHeight="1">
      <c r="A8" s="123" t="s">
        <v>417</v>
      </c>
      <c r="C8" s="112">
        <f>I22</f>
        <v>-1125</v>
      </c>
      <c r="D8" s="113" t="s">
        <v>418</v>
      </c>
      <c r="G8" s="118" t="s">
        <v>419</v>
      </c>
      <c r="H8" s="119">
        <f>(85000-90000*8.5/10)*30%</f>
        <v>2550</v>
      </c>
      <c r="I8" s="114"/>
      <c r="J8" s="114"/>
      <c r="K8" s="114"/>
      <c r="L8" s="114"/>
    </row>
    <row r="9" spans="1:12" ht="13.5" customHeight="1" thickBot="1">
      <c r="A9" s="120" t="s">
        <v>420</v>
      </c>
      <c r="B9" s="121"/>
      <c r="C9" s="121">
        <f>-65000*40%*75%*30%*30%</f>
        <v>-1755</v>
      </c>
      <c r="G9" s="123" t="s">
        <v>9</v>
      </c>
      <c r="H9" s="112">
        <f>H8*-0.25</f>
        <v>-637.5</v>
      </c>
      <c r="I9" s="114"/>
      <c r="J9" s="114"/>
      <c r="K9" s="114"/>
      <c r="L9" s="114"/>
    </row>
    <row r="10" spans="1:12" ht="13.5" customHeight="1" thickBot="1">
      <c r="A10" s="123" t="s">
        <v>421</v>
      </c>
      <c r="C10" s="112">
        <f>SUM(C4:C9)</f>
        <v>268570</v>
      </c>
      <c r="G10" s="124" t="s">
        <v>33</v>
      </c>
      <c r="H10" s="121">
        <f>H6-H8-H9</f>
        <v>197087.5</v>
      </c>
      <c r="I10" s="114"/>
      <c r="J10" s="114"/>
      <c r="K10" s="114"/>
      <c r="L10" s="114"/>
    </row>
    <row r="11" spans="1:12" ht="13.5" customHeight="1">
      <c r="G11" s="116"/>
      <c r="H11" s="112">
        <f>SUM(H8:H10)</f>
        <v>199000</v>
      </c>
      <c r="I11" s="114"/>
      <c r="J11" s="114"/>
      <c r="K11" s="114"/>
      <c r="L11" s="114"/>
    </row>
    <row r="12" spans="1:12" ht="13.5" customHeight="1">
      <c r="A12" s="116" t="s">
        <v>422</v>
      </c>
      <c r="C12" s="112">
        <f>80000*30%</f>
        <v>24000</v>
      </c>
      <c r="G12" s="116" t="s">
        <v>423</v>
      </c>
    </row>
    <row r="13" spans="1:12" ht="13.5" customHeight="1">
      <c r="A13" s="116" t="s">
        <v>413</v>
      </c>
      <c r="C13" s="112">
        <f>(I20/0.75*6.5/7.5*80%-I20)</f>
        <v>-42.5</v>
      </c>
      <c r="G13" s="116" t="s">
        <v>424</v>
      </c>
    </row>
    <row r="14" spans="1:12" ht="13.5" customHeight="1">
      <c r="A14" s="116" t="s">
        <v>549</v>
      </c>
      <c r="C14" s="112">
        <v>-855</v>
      </c>
      <c r="G14" s="116"/>
    </row>
    <row r="15" spans="1:12" ht="13.5" customHeight="1">
      <c r="A15" s="116" t="s">
        <v>415</v>
      </c>
      <c r="C15" s="112">
        <v>-675</v>
      </c>
      <c r="D15" s="113" t="s">
        <v>425</v>
      </c>
      <c r="G15" s="116"/>
    </row>
    <row r="16" spans="1:12" ht="13.5" customHeight="1">
      <c r="A16" s="123" t="s">
        <v>426</v>
      </c>
      <c r="C16" s="112">
        <f>I41</f>
        <v>1040</v>
      </c>
      <c r="D16" s="113" t="s">
        <v>427</v>
      </c>
      <c r="G16" s="117" t="s">
        <v>428</v>
      </c>
    </row>
    <row r="17" spans="1:10" ht="13.5" customHeight="1" thickBot="1">
      <c r="A17" s="120" t="s">
        <v>429</v>
      </c>
      <c r="B17" s="121"/>
      <c r="C17" s="121">
        <f>I46</f>
        <v>963</v>
      </c>
      <c r="D17" s="113" t="s">
        <v>430</v>
      </c>
      <c r="G17" s="116"/>
      <c r="H17" s="125" t="s">
        <v>431</v>
      </c>
      <c r="I17" s="125" t="s">
        <v>432</v>
      </c>
    </row>
    <row r="18" spans="1:10" ht="13.5" customHeight="1">
      <c r="A18" s="116" t="s">
        <v>433</v>
      </c>
      <c r="C18" s="112">
        <f>SUM(C10:C17)</f>
        <v>293000.5</v>
      </c>
      <c r="G18" s="116" t="s">
        <v>434</v>
      </c>
      <c r="H18" s="112">
        <v>70000</v>
      </c>
      <c r="I18" s="126">
        <v>70000</v>
      </c>
    </row>
    <row r="19" spans="1:10" ht="13.5" customHeight="1">
      <c r="A19" s="116"/>
      <c r="G19" s="123" t="s">
        <v>134</v>
      </c>
      <c r="H19" s="126">
        <f>90000*7.5/10</f>
        <v>67500</v>
      </c>
      <c r="I19" s="112">
        <f>85000*7.5/8.5</f>
        <v>75000</v>
      </c>
    </row>
    <row r="20" spans="1:10" ht="13.5" customHeight="1">
      <c r="A20" s="127" t="s">
        <v>435</v>
      </c>
      <c r="G20" s="128" t="s">
        <v>436</v>
      </c>
      <c r="H20" s="119"/>
      <c r="I20" s="119">
        <f>(I18-H19)*75%*30%</f>
        <v>562.5</v>
      </c>
    </row>
    <row r="21" spans="1:10" ht="13.5" customHeight="1" thickBot="1">
      <c r="A21" s="123" t="s">
        <v>437</v>
      </c>
      <c r="G21" s="124" t="s">
        <v>438</v>
      </c>
      <c r="H21" s="121"/>
      <c r="I21" s="121">
        <f>H8*7.5/8.5*75%</f>
        <v>1687.5</v>
      </c>
    </row>
    <row r="22" spans="1:10" ht="13.5" customHeight="1">
      <c r="A22" s="128" t="s">
        <v>439</v>
      </c>
      <c r="B22" s="119"/>
      <c r="C22" s="119">
        <f>250000*0.5</f>
        <v>125000</v>
      </c>
      <c r="G22" s="123" t="s">
        <v>440</v>
      </c>
      <c r="I22" s="112">
        <f>I20-I21</f>
        <v>-1125</v>
      </c>
    </row>
    <row r="23" spans="1:10" ht="13.5" customHeight="1" thickBot="1">
      <c r="A23" s="124" t="s">
        <v>441</v>
      </c>
      <c r="B23" s="121"/>
      <c r="C23" s="121">
        <f>C18*0.5</f>
        <v>146500.25</v>
      </c>
      <c r="D23" s="129" t="s">
        <v>442</v>
      </c>
      <c r="E23" s="129"/>
      <c r="F23" s="129"/>
    </row>
    <row r="24" spans="1:10" ht="13.5" customHeight="1">
      <c r="A24" s="123" t="s">
        <v>443</v>
      </c>
      <c r="C24" s="112">
        <f>C23-C22</f>
        <v>21500.25</v>
      </c>
      <c r="D24" s="129" t="s">
        <v>444</v>
      </c>
      <c r="E24" s="129"/>
      <c r="F24" s="129"/>
      <c r="G24" s="117" t="s">
        <v>445</v>
      </c>
    </row>
    <row r="25" spans="1:10" ht="13.5" customHeight="1">
      <c r="A25" s="116" t="s">
        <v>446</v>
      </c>
      <c r="C25" s="112">
        <f>C24*0.2</f>
        <v>4300.05</v>
      </c>
      <c r="G25" s="130" t="s">
        <v>447</v>
      </c>
      <c r="H25" s="131" t="s">
        <v>448</v>
      </c>
      <c r="I25" s="132" t="s">
        <v>449</v>
      </c>
    </row>
    <row r="26" spans="1:10" ht="13.5" customHeight="1">
      <c r="A26" s="133" t="s">
        <v>450</v>
      </c>
      <c r="B26" s="134" t="s">
        <v>63</v>
      </c>
      <c r="C26" s="134" t="s">
        <v>64</v>
      </c>
      <c r="G26" s="116">
        <v>41274</v>
      </c>
      <c r="H26" s="112">
        <f>1000*(25-15)*75%</f>
        <v>7500</v>
      </c>
      <c r="I26" s="112">
        <f>1000*(25-22)*75%*30%</f>
        <v>675</v>
      </c>
    </row>
    <row r="27" spans="1:10" ht="13.5" customHeight="1">
      <c r="A27" s="135" t="s">
        <v>65</v>
      </c>
      <c r="B27" s="136">
        <f>C25</f>
        <v>4300.05</v>
      </c>
      <c r="C27" s="136"/>
      <c r="G27" s="116" t="s">
        <v>451</v>
      </c>
      <c r="H27" s="112">
        <f>H28-H26</f>
        <v>-5100</v>
      </c>
      <c r="I27" s="112">
        <v>-675</v>
      </c>
      <c r="J27" s="113" t="s">
        <v>550</v>
      </c>
    </row>
    <row r="28" spans="1:10" ht="13.5" customHeight="1">
      <c r="A28" s="137" t="s">
        <v>9</v>
      </c>
      <c r="B28" s="136"/>
      <c r="C28" s="136">
        <f>B27</f>
        <v>4300.05</v>
      </c>
      <c r="G28" s="116">
        <v>41639</v>
      </c>
      <c r="H28" s="112">
        <f>1000*(18-15)*80%</f>
        <v>2400</v>
      </c>
      <c r="I28" s="112">
        <f>I26+I27</f>
        <v>0</v>
      </c>
    </row>
    <row r="29" spans="1:10" ht="13.5" customHeight="1">
      <c r="A29" s="116"/>
      <c r="G29" s="116"/>
    </row>
    <row r="30" spans="1:10" ht="13.5" customHeight="1">
      <c r="A30" s="127" t="s">
        <v>452</v>
      </c>
      <c r="G30" s="133" t="s">
        <v>450</v>
      </c>
      <c r="H30" s="134" t="s">
        <v>63</v>
      </c>
      <c r="I30" s="134" t="s">
        <v>64</v>
      </c>
    </row>
    <row r="31" spans="1:10" ht="13.5" customHeight="1">
      <c r="A31" s="123" t="s">
        <v>453</v>
      </c>
      <c r="B31" s="138">
        <f>30%*0.5</f>
        <v>0.15</v>
      </c>
      <c r="G31" s="114" t="s">
        <v>73</v>
      </c>
      <c r="H31" s="114"/>
      <c r="I31" s="169">
        <f>H27*-0.3</f>
        <v>1530</v>
      </c>
    </row>
    <row r="32" spans="1:10" ht="13.5" customHeight="1">
      <c r="A32" s="123" t="s">
        <v>454</v>
      </c>
      <c r="G32" s="135" t="s">
        <v>455</v>
      </c>
      <c r="H32" s="136">
        <f>I31-H33</f>
        <v>855</v>
      </c>
      <c r="I32" s="136"/>
    </row>
    <row r="33" spans="1:11" ht="13.5" customHeight="1">
      <c r="A33" s="123" t="s">
        <v>456</v>
      </c>
      <c r="G33" s="139" t="s">
        <v>74</v>
      </c>
      <c r="H33" s="136">
        <f>I26</f>
        <v>675</v>
      </c>
      <c r="I33" s="136"/>
      <c r="J33" s="140"/>
      <c r="K33" s="141"/>
    </row>
    <row r="34" spans="1:11" ht="13.5" customHeight="1">
      <c r="A34" s="128" t="s">
        <v>457</v>
      </c>
      <c r="B34" s="119"/>
      <c r="C34" s="119">
        <f>165000*2</f>
        <v>330000</v>
      </c>
      <c r="G34" s="116"/>
      <c r="K34" s="141"/>
    </row>
    <row r="35" spans="1:11" ht="13.5" customHeight="1" thickBot="1">
      <c r="A35" s="124" t="s">
        <v>458</v>
      </c>
      <c r="B35" s="121"/>
      <c r="C35" s="121">
        <f>C18-I45</f>
        <v>293792.5</v>
      </c>
      <c r="G35" s="117" t="s">
        <v>459</v>
      </c>
    </row>
    <row r="36" spans="1:11" ht="13.5" customHeight="1">
      <c r="A36" s="123" t="s">
        <v>460</v>
      </c>
      <c r="C36" s="112">
        <f>C34-C35</f>
        <v>36207.5</v>
      </c>
      <c r="G36" s="116"/>
      <c r="H36" s="125" t="s">
        <v>431</v>
      </c>
      <c r="I36" s="125" t="s">
        <v>432</v>
      </c>
    </row>
    <row r="37" spans="1:11" ht="13.5" customHeight="1">
      <c r="A37" s="133" t="s">
        <v>450</v>
      </c>
      <c r="B37" s="134" t="s">
        <v>63</v>
      </c>
      <c r="C37" s="134" t="s">
        <v>64</v>
      </c>
      <c r="G37" s="116" t="s">
        <v>434</v>
      </c>
      <c r="H37" s="112">
        <v>70000</v>
      </c>
      <c r="I37" s="112">
        <v>70000</v>
      </c>
    </row>
    <row r="38" spans="1:11" ht="13.5" customHeight="1">
      <c r="A38" s="135" t="s">
        <v>5</v>
      </c>
      <c r="B38" s="136">
        <v>165000</v>
      </c>
      <c r="C38" s="136"/>
      <c r="G38" s="123" t="s">
        <v>134</v>
      </c>
      <c r="H38" s="126">
        <f>90000*6.5/10</f>
        <v>58500</v>
      </c>
      <c r="I38" s="126">
        <f>85000*6.5/8.5</f>
        <v>65000</v>
      </c>
    </row>
    <row r="39" spans="1:11" ht="13.5" customHeight="1">
      <c r="A39" s="139" t="s">
        <v>461</v>
      </c>
      <c r="B39" s="136">
        <f>C34*0.5</f>
        <v>165000</v>
      </c>
      <c r="C39" s="136"/>
      <c r="G39" s="128" t="s">
        <v>436</v>
      </c>
      <c r="H39" s="119"/>
      <c r="I39" s="119">
        <f>(I38-H38)*80%*30%</f>
        <v>1560</v>
      </c>
    </row>
    <row r="40" spans="1:11" ht="13.5" customHeight="1" thickBot="1">
      <c r="A40" s="142" t="s">
        <v>462</v>
      </c>
      <c r="B40" s="136"/>
      <c r="C40" s="136">
        <f>C18</f>
        <v>293000.5</v>
      </c>
      <c r="G40" s="124" t="s">
        <v>438</v>
      </c>
      <c r="H40" s="121"/>
      <c r="I40" s="121">
        <f>I20+C13</f>
        <v>520</v>
      </c>
    </row>
    <row r="41" spans="1:11" ht="13.5" customHeight="1">
      <c r="A41" s="142" t="s">
        <v>463</v>
      </c>
      <c r="B41" s="136"/>
      <c r="C41" s="136">
        <f>-I45/0.8</f>
        <v>990</v>
      </c>
      <c r="G41" s="123" t="s">
        <v>464</v>
      </c>
      <c r="I41" s="112">
        <f>I39-I40</f>
        <v>1040</v>
      </c>
    </row>
    <row r="42" spans="1:11" ht="13.5" customHeight="1">
      <c r="A42" s="139" t="s">
        <v>465</v>
      </c>
      <c r="B42" s="136">
        <f>C41*0.2</f>
        <v>198</v>
      </c>
      <c r="C42" s="136"/>
    </row>
    <row r="43" spans="1:11" ht="13.5" customHeight="1">
      <c r="A43" s="137" t="s">
        <v>460</v>
      </c>
      <c r="B43" s="136"/>
      <c r="C43" s="136">
        <f>B38+B39-C40-C41+B42</f>
        <v>36207.5</v>
      </c>
      <c r="G43" s="143" t="s">
        <v>466</v>
      </c>
    </row>
    <row r="44" spans="1:11" ht="13.5" customHeight="1">
      <c r="A44" s="144" t="s">
        <v>467</v>
      </c>
      <c r="G44" s="128" t="s">
        <v>468</v>
      </c>
      <c r="H44" s="119"/>
      <c r="I44" s="119">
        <f>C9</f>
        <v>-1755</v>
      </c>
    </row>
    <row r="45" spans="1:11" ht="13.5" customHeight="1" thickBot="1">
      <c r="A45" s="123" t="s">
        <v>469</v>
      </c>
      <c r="G45" s="124" t="s">
        <v>470</v>
      </c>
      <c r="H45" s="121"/>
      <c r="I45" s="121">
        <f>(65000*60%*30%-15000)*80%*30%</f>
        <v>-792</v>
      </c>
    </row>
    <row r="46" spans="1:11" ht="13.5" customHeight="1">
      <c r="A46" s="145" t="s">
        <v>450</v>
      </c>
      <c r="B46" s="146" t="s">
        <v>63</v>
      </c>
      <c r="C46" s="146" t="s">
        <v>64</v>
      </c>
      <c r="G46" s="123" t="s">
        <v>471</v>
      </c>
      <c r="I46" s="112">
        <f>I45-I44</f>
        <v>963</v>
      </c>
    </row>
    <row r="47" spans="1:11" ht="13.5" customHeight="1">
      <c r="A47" s="147" t="s">
        <v>9</v>
      </c>
      <c r="B47" s="148">
        <f>C28</f>
        <v>4300.05</v>
      </c>
      <c r="C47" s="148"/>
    </row>
    <row r="48" spans="1:11" ht="13.5" customHeight="1">
      <c r="A48" s="147" t="s">
        <v>65</v>
      </c>
      <c r="B48" s="148"/>
      <c r="C48" s="148">
        <f>B47</f>
        <v>4300.05</v>
      </c>
    </row>
    <row r="49" spans="1:9" ht="13.5" customHeight="1">
      <c r="A49" s="147" t="s">
        <v>472</v>
      </c>
      <c r="B49" s="148">
        <v>8000</v>
      </c>
      <c r="C49" s="148"/>
      <c r="G49" s="143" t="s">
        <v>473</v>
      </c>
    </row>
    <row r="50" spans="1:9" ht="13.5" customHeight="1">
      <c r="A50" s="149" t="s">
        <v>474</v>
      </c>
      <c r="B50" s="148"/>
      <c r="C50" s="148">
        <f>(165000-125000)*20%</f>
        <v>8000</v>
      </c>
      <c r="D50" s="113" t="s">
        <v>475</v>
      </c>
      <c r="G50" s="144" t="s">
        <v>476</v>
      </c>
    </row>
    <row r="51" spans="1:9" ht="13.5" customHeight="1">
      <c r="A51" s="123" t="s">
        <v>477</v>
      </c>
      <c r="G51" s="123" t="s">
        <v>478</v>
      </c>
    </row>
    <row r="52" spans="1:9" ht="13.5" customHeight="1">
      <c r="A52" s="133" t="s">
        <v>450</v>
      </c>
      <c r="B52" s="134" t="s">
        <v>63</v>
      </c>
      <c r="C52" s="134" t="s">
        <v>64</v>
      </c>
      <c r="G52" s="128" t="s">
        <v>479</v>
      </c>
      <c r="H52" s="119"/>
      <c r="I52" s="119">
        <v>150000</v>
      </c>
    </row>
    <row r="53" spans="1:9" ht="13.5" customHeight="1">
      <c r="A53" s="135" t="s">
        <v>65</v>
      </c>
      <c r="B53" s="136">
        <f>(165000-125000)*20%</f>
        <v>8000</v>
      </c>
      <c r="C53" s="136"/>
      <c r="D53" s="113" t="s">
        <v>475</v>
      </c>
      <c r="G53" s="123" t="s">
        <v>480</v>
      </c>
      <c r="I53" s="112">
        <f>-(300000-250000)*75%</f>
        <v>-37500</v>
      </c>
    </row>
    <row r="54" spans="1:9" ht="13.5" customHeight="1" thickBot="1">
      <c r="A54" s="137" t="s">
        <v>9</v>
      </c>
      <c r="B54" s="136"/>
      <c r="C54" s="136">
        <f>(165000-125000)*20%</f>
        <v>8000</v>
      </c>
      <c r="G54" s="124" t="s">
        <v>481</v>
      </c>
      <c r="H54" s="121"/>
      <c r="I54" s="121">
        <f>C5+C6+C8+C9</f>
        <v>17895</v>
      </c>
    </row>
    <row r="55" spans="1:9" ht="13.5" customHeight="1">
      <c r="G55" s="144" t="s">
        <v>482</v>
      </c>
      <c r="I55" s="150">
        <f>SUM(I52:I54)</f>
        <v>130395</v>
      </c>
    </row>
    <row r="56" spans="1:9" ht="13.5" customHeight="1" thickBot="1">
      <c r="A56" s="127" t="s">
        <v>483</v>
      </c>
      <c r="G56" s="124" t="s">
        <v>484</v>
      </c>
      <c r="H56" s="121"/>
      <c r="I56" s="121">
        <f>C7</f>
        <v>675</v>
      </c>
    </row>
    <row r="57" spans="1:9" ht="13.5" customHeight="1">
      <c r="A57" s="123" t="s">
        <v>392</v>
      </c>
      <c r="G57" s="144" t="s">
        <v>485</v>
      </c>
      <c r="I57" s="150">
        <f>SUM(I55:I56)</f>
        <v>131070</v>
      </c>
    </row>
    <row r="58" spans="1:9" ht="13.5" customHeight="1">
      <c r="A58" s="128" t="s">
        <v>486</v>
      </c>
      <c r="B58" s="119"/>
      <c r="C58" s="119">
        <v>315000</v>
      </c>
      <c r="D58" s="113" t="s">
        <v>487</v>
      </c>
    </row>
    <row r="59" spans="1:9" ht="13.5" customHeight="1">
      <c r="A59" s="123" t="s">
        <v>45</v>
      </c>
      <c r="C59" s="112">
        <f>I93*40%</f>
        <v>66122.180000000008</v>
      </c>
      <c r="D59" s="113" t="s">
        <v>488</v>
      </c>
      <c r="G59" s="128" t="s">
        <v>489</v>
      </c>
      <c r="H59" s="119"/>
      <c r="I59" s="119">
        <v>450000</v>
      </c>
    </row>
    <row r="60" spans="1:9" ht="13.5" customHeight="1">
      <c r="A60" s="123" t="s">
        <v>413</v>
      </c>
      <c r="C60" s="112">
        <f>I75+I85</f>
        <v>-1888.4</v>
      </c>
      <c r="D60" s="113" t="s">
        <v>487</v>
      </c>
      <c r="G60" s="123" t="s">
        <v>490</v>
      </c>
      <c r="I60" s="112">
        <f>-150000</f>
        <v>-150000</v>
      </c>
    </row>
    <row r="61" spans="1:9" ht="13.5" customHeight="1" thickBot="1">
      <c r="A61" s="116" t="s">
        <v>551</v>
      </c>
      <c r="C61" s="112">
        <f>H100</f>
        <v>-270</v>
      </c>
      <c r="D61" s="113" t="s">
        <v>491</v>
      </c>
      <c r="G61" s="124" t="s">
        <v>492</v>
      </c>
      <c r="H61" s="121"/>
      <c r="I61" s="121">
        <f>I57</f>
        <v>131070</v>
      </c>
    </row>
    <row r="62" spans="1:9" ht="13.5" customHeight="1">
      <c r="A62" s="123" t="s">
        <v>493</v>
      </c>
      <c r="C62" s="112">
        <f>-C16*40%</f>
        <v>-416</v>
      </c>
      <c r="D62" s="113" t="s">
        <v>494</v>
      </c>
      <c r="G62" s="123" t="s">
        <v>495</v>
      </c>
      <c r="I62" s="112">
        <f>SUM(I59:I61)</f>
        <v>431070</v>
      </c>
    </row>
    <row r="63" spans="1:9" ht="13.5" customHeight="1">
      <c r="A63" s="123" t="s">
        <v>496</v>
      </c>
      <c r="C63" s="112">
        <f>-(15000-20000*3/5)*80%*40%*30%*2.25/3</f>
        <v>-216</v>
      </c>
    </row>
    <row r="64" spans="1:9" ht="13.5" customHeight="1" thickBot="1">
      <c r="A64" s="124" t="s">
        <v>497</v>
      </c>
      <c r="B64" s="121"/>
      <c r="C64" s="121">
        <f>-(30000-50000*2/4)*80%*1.5/2*40%</f>
        <v>-1200</v>
      </c>
      <c r="G64" s="144" t="s">
        <v>498</v>
      </c>
    </row>
    <row r="65" spans="1:10" ht="13.5" customHeight="1">
      <c r="C65" s="112">
        <f>SUM(C58:C64)</f>
        <v>377131.77999999997</v>
      </c>
      <c r="G65" s="128" t="s">
        <v>142</v>
      </c>
      <c r="H65" s="119"/>
      <c r="I65" s="119">
        <v>315000</v>
      </c>
    </row>
    <row r="66" spans="1:10" ht="13.5" customHeight="1" thickBot="1">
      <c r="G66" s="124" t="s">
        <v>412</v>
      </c>
      <c r="H66" s="121"/>
      <c r="I66" s="121">
        <f>-I62*40%</f>
        <v>-172428</v>
      </c>
    </row>
    <row r="67" spans="1:10" ht="13.5" customHeight="1">
      <c r="A67" s="123" t="s">
        <v>499</v>
      </c>
      <c r="I67" s="112">
        <f>SUM(I65:I66)</f>
        <v>142572</v>
      </c>
    </row>
    <row r="68" spans="1:10" ht="13.5" customHeight="1">
      <c r="A68" s="128" t="s">
        <v>500</v>
      </c>
      <c r="B68" s="119"/>
      <c r="C68" s="119">
        <f>(I62+I95)*40%</f>
        <v>172428</v>
      </c>
      <c r="G68" s="123" t="s">
        <v>501</v>
      </c>
      <c r="J68" s="112" t="s">
        <v>518</v>
      </c>
    </row>
    <row r="69" spans="1:10" ht="13.5" customHeight="1">
      <c r="A69" s="123" t="s">
        <v>502</v>
      </c>
      <c r="C69" s="112">
        <f>J75</f>
        <v>11963.6</v>
      </c>
      <c r="G69" s="112"/>
      <c r="H69" s="122">
        <v>41275</v>
      </c>
      <c r="I69" s="122" t="s">
        <v>117</v>
      </c>
      <c r="J69" s="122">
        <v>41639</v>
      </c>
    </row>
    <row r="70" spans="1:10" ht="13.5" customHeight="1">
      <c r="A70" s="123" t="s">
        <v>503</v>
      </c>
      <c r="C70" s="112">
        <f>J85</f>
        <v>128720</v>
      </c>
      <c r="G70" s="128" t="s">
        <v>329</v>
      </c>
      <c r="H70" s="151">
        <f>(12000-8000)*40%*30%</f>
        <v>480</v>
      </c>
      <c r="I70" s="151">
        <v>-480</v>
      </c>
      <c r="J70" s="119">
        <f>SUM(H70:I70)</f>
        <v>0</v>
      </c>
    </row>
    <row r="71" spans="1:10" ht="13.5" customHeight="1">
      <c r="A71" s="123" t="s">
        <v>504</v>
      </c>
      <c r="C71" s="112">
        <f>C62</f>
        <v>-416</v>
      </c>
      <c r="G71" s="123" t="s">
        <v>9</v>
      </c>
      <c r="H71" s="148">
        <f>H70*-0.25</f>
        <v>-120</v>
      </c>
      <c r="I71" s="148">
        <f>-H71</f>
        <v>120</v>
      </c>
      <c r="J71" s="112">
        <f t="shared" ref="J71" si="0">J70*-0.2</f>
        <v>0</v>
      </c>
    </row>
    <row r="72" spans="1:10" ht="13.5" customHeight="1">
      <c r="A72" s="123" t="s">
        <v>496</v>
      </c>
      <c r="C72" s="112">
        <f>C63</f>
        <v>-216</v>
      </c>
      <c r="G72" s="123" t="s">
        <v>505</v>
      </c>
      <c r="H72" s="148">
        <f>(315000-246000)*40%*30%</f>
        <v>8280</v>
      </c>
      <c r="I72" s="148">
        <f>H72/-10</f>
        <v>-828</v>
      </c>
      <c r="J72" s="112">
        <f>SUM(H72:I72)</f>
        <v>7452</v>
      </c>
    </row>
    <row r="73" spans="1:10" ht="13.5" customHeight="1" thickBot="1">
      <c r="A73" s="124" t="s">
        <v>497</v>
      </c>
      <c r="B73" s="121"/>
      <c r="C73" s="121">
        <f>-(30000-50000*2/4)*80%*1.5/2*40%</f>
        <v>-1200</v>
      </c>
      <c r="G73" s="123" t="s">
        <v>9</v>
      </c>
      <c r="H73" s="148">
        <f>H72*-0.25</f>
        <v>-2070</v>
      </c>
      <c r="I73" s="148">
        <f>J73-H73</f>
        <v>579.59999999999991</v>
      </c>
      <c r="J73" s="112">
        <f t="shared" ref="J73" si="1">J72*-0.2</f>
        <v>-1490.4</v>
      </c>
    </row>
    <row r="74" spans="1:10" ht="13.5" customHeight="1" thickBot="1">
      <c r="C74" s="112">
        <f>SUM(C68:C73)</f>
        <v>311279.59999999998</v>
      </c>
      <c r="G74" s="124" t="s">
        <v>33</v>
      </c>
      <c r="H74" s="152">
        <f>H75-SUM(H70:H73)</f>
        <v>6002</v>
      </c>
      <c r="I74" s="152"/>
      <c r="J74" s="121">
        <f>H74</f>
        <v>6002</v>
      </c>
    </row>
    <row r="75" spans="1:10" ht="13.5" customHeight="1">
      <c r="G75" s="123" t="s">
        <v>34</v>
      </c>
      <c r="H75" s="148">
        <f>(300000-C10)*40%</f>
        <v>12572</v>
      </c>
      <c r="I75" s="148">
        <f>SUM(I70:I74)</f>
        <v>-608.40000000000009</v>
      </c>
      <c r="J75" s="112">
        <f>SUM(J70:J74)</f>
        <v>11963.6</v>
      </c>
    </row>
    <row r="76" spans="1:10" ht="13.5" customHeight="1">
      <c r="G76" s="123" t="s">
        <v>506</v>
      </c>
      <c r="H76" s="148"/>
      <c r="I76" s="148"/>
    </row>
    <row r="77" spans="1:10" ht="13.5" customHeight="1">
      <c r="G77" s="112"/>
      <c r="H77" s="153">
        <v>41275</v>
      </c>
      <c r="I77" s="153" t="s">
        <v>117</v>
      </c>
      <c r="J77" s="122">
        <v>41639</v>
      </c>
    </row>
    <row r="78" spans="1:10" ht="13.5" customHeight="1">
      <c r="G78" s="128" t="s">
        <v>329</v>
      </c>
      <c r="H78" s="151">
        <f>(22000-15000)*40%</f>
        <v>2800</v>
      </c>
      <c r="I78" s="151">
        <v>-2800</v>
      </c>
      <c r="J78" s="119">
        <f>SUM(H78:I78)</f>
        <v>0</v>
      </c>
    </row>
    <row r="79" spans="1:10" ht="13.5" customHeight="1">
      <c r="G79" s="123" t="s">
        <v>9</v>
      </c>
      <c r="H79" s="148">
        <f>H78*-0.25</f>
        <v>-700</v>
      </c>
      <c r="I79" s="148">
        <f>-H79</f>
        <v>700</v>
      </c>
      <c r="J79" s="112">
        <f t="shared" ref="J79" si="2">J78*-0.2</f>
        <v>0</v>
      </c>
    </row>
    <row r="80" spans="1:10" ht="13.5" customHeight="1">
      <c r="G80" s="123" t="s">
        <v>507</v>
      </c>
      <c r="H80" s="148">
        <f>(600000-500000)*40%</f>
        <v>40000</v>
      </c>
      <c r="I80" s="148">
        <f>-H80/20</f>
        <v>-2000</v>
      </c>
      <c r="J80" s="112">
        <f>SUM(H80:I80)</f>
        <v>38000</v>
      </c>
    </row>
    <row r="81" spans="7:12" ht="13.5" customHeight="1">
      <c r="G81" s="123" t="s">
        <v>9</v>
      </c>
      <c r="H81" s="148">
        <f>H80*-0.25</f>
        <v>-10000</v>
      </c>
      <c r="I81" s="148">
        <f>J81-H81</f>
        <v>2400</v>
      </c>
      <c r="J81" s="112">
        <f t="shared" ref="J81" si="3">J80*-0.2</f>
        <v>-7600</v>
      </c>
    </row>
    <row r="82" spans="7:12" ht="13.5" customHeight="1">
      <c r="G82" s="123" t="s">
        <v>508</v>
      </c>
      <c r="H82" s="148">
        <f>(75000-82000)*40%</f>
        <v>-2800</v>
      </c>
      <c r="I82" s="148">
        <f>H82/-4</f>
        <v>700</v>
      </c>
      <c r="J82" s="112">
        <f>SUM(H82:I82)</f>
        <v>-2100</v>
      </c>
    </row>
    <row r="83" spans="7:12" ht="13.5" customHeight="1">
      <c r="G83" s="123" t="s">
        <v>9</v>
      </c>
      <c r="H83" s="148">
        <f>H82*-0.25</f>
        <v>700</v>
      </c>
      <c r="I83" s="148">
        <f>J83-H83</f>
        <v>-280</v>
      </c>
      <c r="J83" s="112">
        <f t="shared" ref="J83" si="4">J82*-0.2</f>
        <v>420</v>
      </c>
    </row>
    <row r="84" spans="7:12" ht="13.5" customHeight="1" thickBot="1">
      <c r="G84" s="124" t="s">
        <v>33</v>
      </c>
      <c r="H84" s="152">
        <f>H85-SUM(H78:H83)</f>
        <v>100000</v>
      </c>
      <c r="I84" s="152"/>
      <c r="J84" s="121">
        <f>H84</f>
        <v>100000</v>
      </c>
    </row>
    <row r="85" spans="7:12" ht="13.5" customHeight="1">
      <c r="G85" s="123" t="s">
        <v>34</v>
      </c>
      <c r="H85" s="148">
        <f>I67-H75</f>
        <v>130000</v>
      </c>
      <c r="I85" s="148">
        <f>SUM(I78:I84)</f>
        <v>-1280</v>
      </c>
      <c r="J85" s="112">
        <f>SUM(J78:J84)</f>
        <v>128720</v>
      </c>
    </row>
    <row r="87" spans="7:12" ht="13.5" customHeight="1">
      <c r="G87" s="123" t="s">
        <v>509</v>
      </c>
    </row>
    <row r="88" spans="7:12" ht="13.5" customHeight="1">
      <c r="G88" s="128" t="s">
        <v>479</v>
      </c>
      <c r="H88" s="119"/>
      <c r="I88" s="119">
        <v>175000</v>
      </c>
    </row>
    <row r="89" spans="7:12" ht="13.5" customHeight="1">
      <c r="G89" s="123" t="s">
        <v>480</v>
      </c>
      <c r="I89" s="112">
        <f>-(335000-300000)*80%</f>
        <v>-28000</v>
      </c>
      <c r="J89" s="113" t="s">
        <v>510</v>
      </c>
      <c r="K89" s="113">
        <f>(300000-250000)*0.75</f>
        <v>37500</v>
      </c>
      <c r="L89" s="113" t="s">
        <v>511</v>
      </c>
    </row>
    <row r="90" spans="7:12" ht="13.5" customHeight="1">
      <c r="G90" s="123" t="s">
        <v>512</v>
      </c>
      <c r="I90" s="112">
        <f>-(300000-250000)*(80%-75%)</f>
        <v>-2500.0000000000023</v>
      </c>
      <c r="K90" s="113">
        <f>K91-K89</f>
        <v>30500</v>
      </c>
      <c r="L90" s="113" t="s">
        <v>190</v>
      </c>
    </row>
    <row r="91" spans="7:12" ht="13.5" customHeight="1">
      <c r="G91" s="123" t="s">
        <v>481</v>
      </c>
      <c r="I91" s="112">
        <f>C12+C13+C16+C17-H32</f>
        <v>25105.5</v>
      </c>
      <c r="K91" s="113">
        <f>(335000-250000)*0.8</f>
        <v>68000</v>
      </c>
      <c r="L91" s="113" t="s">
        <v>513</v>
      </c>
    </row>
    <row r="92" spans="7:12" ht="13.5" customHeight="1" thickBot="1">
      <c r="G92" s="124" t="s">
        <v>514</v>
      </c>
      <c r="H92" s="121"/>
      <c r="I92" s="121">
        <f>-B27</f>
        <v>-4300.05</v>
      </c>
    </row>
    <row r="93" spans="7:12" ht="13.5" customHeight="1">
      <c r="G93" s="144" t="s">
        <v>482</v>
      </c>
      <c r="I93" s="150">
        <f>SUM(I88:I92)</f>
        <v>165305.45000000001</v>
      </c>
    </row>
    <row r="95" spans="7:12" ht="13.5" customHeight="1">
      <c r="G95" s="144"/>
      <c r="I95" s="150"/>
    </row>
    <row r="97" spans="7:9" ht="13.5" customHeight="1">
      <c r="G97" s="143" t="s">
        <v>515</v>
      </c>
    </row>
    <row r="98" spans="7:9" ht="13.5" customHeight="1">
      <c r="G98" s="123" t="s">
        <v>516</v>
      </c>
    </row>
    <row r="99" spans="7:9" ht="13.5" customHeight="1">
      <c r="G99" s="154" t="s">
        <v>517</v>
      </c>
      <c r="H99" s="155" t="s">
        <v>63</v>
      </c>
      <c r="I99" s="155" t="s">
        <v>64</v>
      </c>
    </row>
    <row r="100" spans="7:9" ht="13.5" customHeight="1">
      <c r="G100" s="156" t="s">
        <v>455</v>
      </c>
      <c r="H100" s="157">
        <f>C15*0.4</f>
        <v>-270</v>
      </c>
      <c r="I100" s="157"/>
    </row>
    <row r="101" spans="7:9" ht="13.5" customHeight="1">
      <c r="G101" s="158" t="s">
        <v>73</v>
      </c>
      <c r="H101" s="157"/>
      <c r="I101" s="157">
        <f>H100</f>
        <v>-270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4"/>
  <sheetViews>
    <sheetView rightToLeft="1" tabSelected="1" topLeftCell="A67" workbookViewId="0">
      <selection activeCell="D16" sqref="D16"/>
    </sheetView>
  </sheetViews>
  <sheetFormatPr defaultRowHeight="12.75"/>
  <cols>
    <col min="1" max="1" width="10.5" style="88" customWidth="1"/>
    <col min="2" max="2" width="6.5" style="88" customWidth="1"/>
    <col min="3" max="3" width="21.75" style="88" customWidth="1"/>
    <col min="4" max="4" width="8.875" style="88" bestFit="1" customWidth="1"/>
    <col min="5" max="5" width="14.375" style="90" bestFit="1" customWidth="1"/>
    <col min="6" max="6" width="11.25" style="88" customWidth="1"/>
    <col min="7" max="8" width="9" style="88"/>
    <col min="9" max="9" width="5.75" style="88" bestFit="1" customWidth="1"/>
    <col min="10" max="10" width="9.875" style="88" bestFit="1" customWidth="1"/>
    <col min="11" max="11" width="14.5" style="88" customWidth="1"/>
    <col min="12" max="12" width="12.75" style="88" customWidth="1"/>
    <col min="13" max="256" width="9" style="88"/>
    <col min="257" max="257" width="10.5" style="88" customWidth="1"/>
    <col min="258" max="258" width="6.5" style="88" customWidth="1"/>
    <col min="259" max="259" width="21.75" style="88" customWidth="1"/>
    <col min="260" max="260" width="8.875" style="88" bestFit="1" customWidth="1"/>
    <col min="261" max="261" width="14.375" style="88" bestFit="1" customWidth="1"/>
    <col min="262" max="262" width="11.25" style="88" customWidth="1"/>
    <col min="263" max="264" width="9" style="88"/>
    <col min="265" max="265" width="5.75" style="88" bestFit="1" customWidth="1"/>
    <col min="266" max="266" width="9.875" style="88" bestFit="1" customWidth="1"/>
    <col min="267" max="267" width="14.5" style="88" customWidth="1"/>
    <col min="268" max="268" width="12.75" style="88" customWidth="1"/>
    <col min="269" max="512" width="9" style="88"/>
    <col min="513" max="513" width="10.5" style="88" customWidth="1"/>
    <col min="514" max="514" width="6.5" style="88" customWidth="1"/>
    <col min="515" max="515" width="21.75" style="88" customWidth="1"/>
    <col min="516" max="516" width="8.875" style="88" bestFit="1" customWidth="1"/>
    <col min="517" max="517" width="14.375" style="88" bestFit="1" customWidth="1"/>
    <col min="518" max="518" width="11.25" style="88" customWidth="1"/>
    <col min="519" max="520" width="9" style="88"/>
    <col min="521" max="521" width="5.75" style="88" bestFit="1" customWidth="1"/>
    <col min="522" max="522" width="9.875" style="88" bestFit="1" customWidth="1"/>
    <col min="523" max="523" width="14.5" style="88" customWidth="1"/>
    <col min="524" max="524" width="12.75" style="88" customWidth="1"/>
    <col min="525" max="768" width="9" style="88"/>
    <col min="769" max="769" width="10.5" style="88" customWidth="1"/>
    <col min="770" max="770" width="6.5" style="88" customWidth="1"/>
    <col min="771" max="771" width="21.75" style="88" customWidth="1"/>
    <col min="772" max="772" width="8.875" style="88" bestFit="1" customWidth="1"/>
    <col min="773" max="773" width="14.375" style="88" bestFit="1" customWidth="1"/>
    <col min="774" max="774" width="11.25" style="88" customWidth="1"/>
    <col min="775" max="776" width="9" style="88"/>
    <col min="777" max="777" width="5.75" style="88" bestFit="1" customWidth="1"/>
    <col min="778" max="778" width="9.875" style="88" bestFit="1" customWidth="1"/>
    <col min="779" max="779" width="14.5" style="88" customWidth="1"/>
    <col min="780" max="780" width="12.75" style="88" customWidth="1"/>
    <col min="781" max="1024" width="9" style="88"/>
    <col min="1025" max="1025" width="10.5" style="88" customWidth="1"/>
    <col min="1026" max="1026" width="6.5" style="88" customWidth="1"/>
    <col min="1027" max="1027" width="21.75" style="88" customWidth="1"/>
    <col min="1028" max="1028" width="8.875" style="88" bestFit="1" customWidth="1"/>
    <col min="1029" max="1029" width="14.375" style="88" bestFit="1" customWidth="1"/>
    <col min="1030" max="1030" width="11.25" style="88" customWidth="1"/>
    <col min="1031" max="1032" width="9" style="88"/>
    <col min="1033" max="1033" width="5.75" style="88" bestFit="1" customWidth="1"/>
    <col min="1034" max="1034" width="9.875" style="88" bestFit="1" customWidth="1"/>
    <col min="1035" max="1035" width="14.5" style="88" customWidth="1"/>
    <col min="1036" max="1036" width="12.75" style="88" customWidth="1"/>
    <col min="1037" max="1280" width="9" style="88"/>
    <col min="1281" max="1281" width="10.5" style="88" customWidth="1"/>
    <col min="1282" max="1282" width="6.5" style="88" customWidth="1"/>
    <col min="1283" max="1283" width="21.75" style="88" customWidth="1"/>
    <col min="1284" max="1284" width="8.875" style="88" bestFit="1" customWidth="1"/>
    <col min="1285" max="1285" width="14.375" style="88" bestFit="1" customWidth="1"/>
    <col min="1286" max="1286" width="11.25" style="88" customWidth="1"/>
    <col min="1287" max="1288" width="9" style="88"/>
    <col min="1289" max="1289" width="5.75" style="88" bestFit="1" customWidth="1"/>
    <col min="1290" max="1290" width="9.875" style="88" bestFit="1" customWidth="1"/>
    <col min="1291" max="1291" width="14.5" style="88" customWidth="1"/>
    <col min="1292" max="1292" width="12.75" style="88" customWidth="1"/>
    <col min="1293" max="1536" width="9" style="88"/>
    <col min="1537" max="1537" width="10.5" style="88" customWidth="1"/>
    <col min="1538" max="1538" width="6.5" style="88" customWidth="1"/>
    <col min="1539" max="1539" width="21.75" style="88" customWidth="1"/>
    <col min="1540" max="1540" width="8.875" style="88" bestFit="1" customWidth="1"/>
    <col min="1541" max="1541" width="14.375" style="88" bestFit="1" customWidth="1"/>
    <col min="1542" max="1542" width="11.25" style="88" customWidth="1"/>
    <col min="1543" max="1544" width="9" style="88"/>
    <col min="1545" max="1545" width="5.75" style="88" bestFit="1" customWidth="1"/>
    <col min="1546" max="1546" width="9.875" style="88" bestFit="1" customWidth="1"/>
    <col min="1547" max="1547" width="14.5" style="88" customWidth="1"/>
    <col min="1548" max="1548" width="12.75" style="88" customWidth="1"/>
    <col min="1549" max="1792" width="9" style="88"/>
    <col min="1793" max="1793" width="10.5" style="88" customWidth="1"/>
    <col min="1794" max="1794" width="6.5" style="88" customWidth="1"/>
    <col min="1795" max="1795" width="21.75" style="88" customWidth="1"/>
    <col min="1796" max="1796" width="8.875" style="88" bestFit="1" customWidth="1"/>
    <col min="1797" max="1797" width="14.375" style="88" bestFit="1" customWidth="1"/>
    <col min="1798" max="1798" width="11.25" style="88" customWidth="1"/>
    <col min="1799" max="1800" width="9" style="88"/>
    <col min="1801" max="1801" width="5.75" style="88" bestFit="1" customWidth="1"/>
    <col min="1802" max="1802" width="9.875" style="88" bestFit="1" customWidth="1"/>
    <col min="1803" max="1803" width="14.5" style="88" customWidth="1"/>
    <col min="1804" max="1804" width="12.75" style="88" customWidth="1"/>
    <col min="1805" max="2048" width="9" style="88"/>
    <col min="2049" max="2049" width="10.5" style="88" customWidth="1"/>
    <col min="2050" max="2050" width="6.5" style="88" customWidth="1"/>
    <col min="2051" max="2051" width="21.75" style="88" customWidth="1"/>
    <col min="2052" max="2052" width="8.875" style="88" bestFit="1" customWidth="1"/>
    <col min="2053" max="2053" width="14.375" style="88" bestFit="1" customWidth="1"/>
    <col min="2054" max="2054" width="11.25" style="88" customWidth="1"/>
    <col min="2055" max="2056" width="9" style="88"/>
    <col min="2057" max="2057" width="5.75" style="88" bestFit="1" customWidth="1"/>
    <col min="2058" max="2058" width="9.875" style="88" bestFit="1" customWidth="1"/>
    <col min="2059" max="2059" width="14.5" style="88" customWidth="1"/>
    <col min="2060" max="2060" width="12.75" style="88" customWidth="1"/>
    <col min="2061" max="2304" width="9" style="88"/>
    <col min="2305" max="2305" width="10.5" style="88" customWidth="1"/>
    <col min="2306" max="2306" width="6.5" style="88" customWidth="1"/>
    <col min="2307" max="2307" width="21.75" style="88" customWidth="1"/>
    <col min="2308" max="2308" width="8.875" style="88" bestFit="1" customWidth="1"/>
    <col min="2309" max="2309" width="14.375" style="88" bestFit="1" customWidth="1"/>
    <col min="2310" max="2310" width="11.25" style="88" customWidth="1"/>
    <col min="2311" max="2312" width="9" style="88"/>
    <col min="2313" max="2313" width="5.75" style="88" bestFit="1" customWidth="1"/>
    <col min="2314" max="2314" width="9.875" style="88" bestFit="1" customWidth="1"/>
    <col min="2315" max="2315" width="14.5" style="88" customWidth="1"/>
    <col min="2316" max="2316" width="12.75" style="88" customWidth="1"/>
    <col min="2317" max="2560" width="9" style="88"/>
    <col min="2561" max="2561" width="10.5" style="88" customWidth="1"/>
    <col min="2562" max="2562" width="6.5" style="88" customWidth="1"/>
    <col min="2563" max="2563" width="21.75" style="88" customWidth="1"/>
    <col min="2564" max="2564" width="8.875" style="88" bestFit="1" customWidth="1"/>
    <col min="2565" max="2565" width="14.375" style="88" bestFit="1" customWidth="1"/>
    <col min="2566" max="2566" width="11.25" style="88" customWidth="1"/>
    <col min="2567" max="2568" width="9" style="88"/>
    <col min="2569" max="2569" width="5.75" style="88" bestFit="1" customWidth="1"/>
    <col min="2570" max="2570" width="9.875" style="88" bestFit="1" customWidth="1"/>
    <col min="2571" max="2571" width="14.5" style="88" customWidth="1"/>
    <col min="2572" max="2572" width="12.75" style="88" customWidth="1"/>
    <col min="2573" max="2816" width="9" style="88"/>
    <col min="2817" max="2817" width="10.5" style="88" customWidth="1"/>
    <col min="2818" max="2818" width="6.5" style="88" customWidth="1"/>
    <col min="2819" max="2819" width="21.75" style="88" customWidth="1"/>
    <col min="2820" max="2820" width="8.875" style="88" bestFit="1" customWidth="1"/>
    <col min="2821" max="2821" width="14.375" style="88" bestFit="1" customWidth="1"/>
    <col min="2822" max="2822" width="11.25" style="88" customWidth="1"/>
    <col min="2823" max="2824" width="9" style="88"/>
    <col min="2825" max="2825" width="5.75" style="88" bestFit="1" customWidth="1"/>
    <col min="2826" max="2826" width="9.875" style="88" bestFit="1" customWidth="1"/>
    <col min="2827" max="2827" width="14.5" style="88" customWidth="1"/>
    <col min="2828" max="2828" width="12.75" style="88" customWidth="1"/>
    <col min="2829" max="3072" width="9" style="88"/>
    <col min="3073" max="3073" width="10.5" style="88" customWidth="1"/>
    <col min="3074" max="3074" width="6.5" style="88" customWidth="1"/>
    <col min="3075" max="3075" width="21.75" style="88" customWidth="1"/>
    <col min="3076" max="3076" width="8.875" style="88" bestFit="1" customWidth="1"/>
    <col min="3077" max="3077" width="14.375" style="88" bestFit="1" customWidth="1"/>
    <col min="3078" max="3078" width="11.25" style="88" customWidth="1"/>
    <col min="3079" max="3080" width="9" style="88"/>
    <col min="3081" max="3081" width="5.75" style="88" bestFit="1" customWidth="1"/>
    <col min="3082" max="3082" width="9.875" style="88" bestFit="1" customWidth="1"/>
    <col min="3083" max="3083" width="14.5" style="88" customWidth="1"/>
    <col min="3084" max="3084" width="12.75" style="88" customWidth="1"/>
    <col min="3085" max="3328" width="9" style="88"/>
    <col min="3329" max="3329" width="10.5" style="88" customWidth="1"/>
    <col min="3330" max="3330" width="6.5" style="88" customWidth="1"/>
    <col min="3331" max="3331" width="21.75" style="88" customWidth="1"/>
    <col min="3332" max="3332" width="8.875" style="88" bestFit="1" customWidth="1"/>
    <col min="3333" max="3333" width="14.375" style="88" bestFit="1" customWidth="1"/>
    <col min="3334" max="3334" width="11.25" style="88" customWidth="1"/>
    <col min="3335" max="3336" width="9" style="88"/>
    <col min="3337" max="3337" width="5.75" style="88" bestFit="1" customWidth="1"/>
    <col min="3338" max="3338" width="9.875" style="88" bestFit="1" customWidth="1"/>
    <col min="3339" max="3339" width="14.5" style="88" customWidth="1"/>
    <col min="3340" max="3340" width="12.75" style="88" customWidth="1"/>
    <col min="3341" max="3584" width="9" style="88"/>
    <col min="3585" max="3585" width="10.5" style="88" customWidth="1"/>
    <col min="3586" max="3586" width="6.5" style="88" customWidth="1"/>
    <col min="3587" max="3587" width="21.75" style="88" customWidth="1"/>
    <col min="3588" max="3588" width="8.875" style="88" bestFit="1" customWidth="1"/>
    <col min="3589" max="3589" width="14.375" style="88" bestFit="1" customWidth="1"/>
    <col min="3590" max="3590" width="11.25" style="88" customWidth="1"/>
    <col min="3591" max="3592" width="9" style="88"/>
    <col min="3593" max="3593" width="5.75" style="88" bestFit="1" customWidth="1"/>
    <col min="3594" max="3594" width="9.875" style="88" bestFit="1" customWidth="1"/>
    <col min="3595" max="3595" width="14.5" style="88" customWidth="1"/>
    <col min="3596" max="3596" width="12.75" style="88" customWidth="1"/>
    <col min="3597" max="3840" width="9" style="88"/>
    <col min="3841" max="3841" width="10.5" style="88" customWidth="1"/>
    <col min="3842" max="3842" width="6.5" style="88" customWidth="1"/>
    <col min="3843" max="3843" width="21.75" style="88" customWidth="1"/>
    <col min="3844" max="3844" width="8.875" style="88" bestFit="1" customWidth="1"/>
    <col min="3845" max="3845" width="14.375" style="88" bestFit="1" customWidth="1"/>
    <col min="3846" max="3846" width="11.25" style="88" customWidth="1"/>
    <col min="3847" max="3848" width="9" style="88"/>
    <col min="3849" max="3849" width="5.75" style="88" bestFit="1" customWidth="1"/>
    <col min="3850" max="3850" width="9.875" style="88" bestFit="1" customWidth="1"/>
    <col min="3851" max="3851" width="14.5" style="88" customWidth="1"/>
    <col min="3852" max="3852" width="12.75" style="88" customWidth="1"/>
    <col min="3853" max="4096" width="9" style="88"/>
    <col min="4097" max="4097" width="10.5" style="88" customWidth="1"/>
    <col min="4098" max="4098" width="6.5" style="88" customWidth="1"/>
    <col min="4099" max="4099" width="21.75" style="88" customWidth="1"/>
    <col min="4100" max="4100" width="8.875" style="88" bestFit="1" customWidth="1"/>
    <col min="4101" max="4101" width="14.375" style="88" bestFit="1" customWidth="1"/>
    <col min="4102" max="4102" width="11.25" style="88" customWidth="1"/>
    <col min="4103" max="4104" width="9" style="88"/>
    <col min="4105" max="4105" width="5.75" style="88" bestFit="1" customWidth="1"/>
    <col min="4106" max="4106" width="9.875" style="88" bestFit="1" customWidth="1"/>
    <col min="4107" max="4107" width="14.5" style="88" customWidth="1"/>
    <col min="4108" max="4108" width="12.75" style="88" customWidth="1"/>
    <col min="4109" max="4352" width="9" style="88"/>
    <col min="4353" max="4353" width="10.5" style="88" customWidth="1"/>
    <col min="4354" max="4354" width="6.5" style="88" customWidth="1"/>
    <col min="4355" max="4355" width="21.75" style="88" customWidth="1"/>
    <col min="4356" max="4356" width="8.875" style="88" bestFit="1" customWidth="1"/>
    <col min="4357" max="4357" width="14.375" style="88" bestFit="1" customWidth="1"/>
    <col min="4358" max="4358" width="11.25" style="88" customWidth="1"/>
    <col min="4359" max="4360" width="9" style="88"/>
    <col min="4361" max="4361" width="5.75" style="88" bestFit="1" customWidth="1"/>
    <col min="4362" max="4362" width="9.875" style="88" bestFit="1" customWidth="1"/>
    <col min="4363" max="4363" width="14.5" style="88" customWidth="1"/>
    <col min="4364" max="4364" width="12.75" style="88" customWidth="1"/>
    <col min="4365" max="4608" width="9" style="88"/>
    <col min="4609" max="4609" width="10.5" style="88" customWidth="1"/>
    <col min="4610" max="4610" width="6.5" style="88" customWidth="1"/>
    <col min="4611" max="4611" width="21.75" style="88" customWidth="1"/>
    <col min="4612" max="4612" width="8.875" style="88" bestFit="1" customWidth="1"/>
    <col min="4613" max="4613" width="14.375" style="88" bestFit="1" customWidth="1"/>
    <col min="4614" max="4614" width="11.25" style="88" customWidth="1"/>
    <col min="4615" max="4616" width="9" style="88"/>
    <col min="4617" max="4617" width="5.75" style="88" bestFit="1" customWidth="1"/>
    <col min="4618" max="4618" width="9.875" style="88" bestFit="1" customWidth="1"/>
    <col min="4619" max="4619" width="14.5" style="88" customWidth="1"/>
    <col min="4620" max="4620" width="12.75" style="88" customWidth="1"/>
    <col min="4621" max="4864" width="9" style="88"/>
    <col min="4865" max="4865" width="10.5" style="88" customWidth="1"/>
    <col min="4866" max="4866" width="6.5" style="88" customWidth="1"/>
    <col min="4867" max="4867" width="21.75" style="88" customWidth="1"/>
    <col min="4868" max="4868" width="8.875" style="88" bestFit="1" customWidth="1"/>
    <col min="4869" max="4869" width="14.375" style="88" bestFit="1" customWidth="1"/>
    <col min="4870" max="4870" width="11.25" style="88" customWidth="1"/>
    <col min="4871" max="4872" width="9" style="88"/>
    <col min="4873" max="4873" width="5.75" style="88" bestFit="1" customWidth="1"/>
    <col min="4874" max="4874" width="9.875" style="88" bestFit="1" customWidth="1"/>
    <col min="4875" max="4875" width="14.5" style="88" customWidth="1"/>
    <col min="4876" max="4876" width="12.75" style="88" customWidth="1"/>
    <col min="4877" max="5120" width="9" style="88"/>
    <col min="5121" max="5121" width="10.5" style="88" customWidth="1"/>
    <col min="5122" max="5122" width="6.5" style="88" customWidth="1"/>
    <col min="5123" max="5123" width="21.75" style="88" customWidth="1"/>
    <col min="5124" max="5124" width="8.875" style="88" bestFit="1" customWidth="1"/>
    <col min="5125" max="5125" width="14.375" style="88" bestFit="1" customWidth="1"/>
    <col min="5126" max="5126" width="11.25" style="88" customWidth="1"/>
    <col min="5127" max="5128" width="9" style="88"/>
    <col min="5129" max="5129" width="5.75" style="88" bestFit="1" customWidth="1"/>
    <col min="5130" max="5130" width="9.875" style="88" bestFit="1" customWidth="1"/>
    <col min="5131" max="5131" width="14.5" style="88" customWidth="1"/>
    <col min="5132" max="5132" width="12.75" style="88" customWidth="1"/>
    <col min="5133" max="5376" width="9" style="88"/>
    <col min="5377" max="5377" width="10.5" style="88" customWidth="1"/>
    <col min="5378" max="5378" width="6.5" style="88" customWidth="1"/>
    <col min="5379" max="5379" width="21.75" style="88" customWidth="1"/>
    <col min="5380" max="5380" width="8.875" style="88" bestFit="1" customWidth="1"/>
    <col min="5381" max="5381" width="14.375" style="88" bestFit="1" customWidth="1"/>
    <col min="5382" max="5382" width="11.25" style="88" customWidth="1"/>
    <col min="5383" max="5384" width="9" style="88"/>
    <col min="5385" max="5385" width="5.75" style="88" bestFit="1" customWidth="1"/>
    <col min="5386" max="5386" width="9.875" style="88" bestFit="1" customWidth="1"/>
    <col min="5387" max="5387" width="14.5" style="88" customWidth="1"/>
    <col min="5388" max="5388" width="12.75" style="88" customWidth="1"/>
    <col min="5389" max="5632" width="9" style="88"/>
    <col min="5633" max="5633" width="10.5" style="88" customWidth="1"/>
    <col min="5634" max="5634" width="6.5" style="88" customWidth="1"/>
    <col min="5635" max="5635" width="21.75" style="88" customWidth="1"/>
    <col min="5636" max="5636" width="8.875" style="88" bestFit="1" customWidth="1"/>
    <col min="5637" max="5637" width="14.375" style="88" bestFit="1" customWidth="1"/>
    <col min="5638" max="5638" width="11.25" style="88" customWidth="1"/>
    <col min="5639" max="5640" width="9" style="88"/>
    <col min="5641" max="5641" width="5.75" style="88" bestFit="1" customWidth="1"/>
    <col min="5642" max="5642" width="9.875" style="88" bestFit="1" customWidth="1"/>
    <col min="5643" max="5643" width="14.5" style="88" customWidth="1"/>
    <col min="5644" max="5644" width="12.75" style="88" customWidth="1"/>
    <col min="5645" max="5888" width="9" style="88"/>
    <col min="5889" max="5889" width="10.5" style="88" customWidth="1"/>
    <col min="5890" max="5890" width="6.5" style="88" customWidth="1"/>
    <col min="5891" max="5891" width="21.75" style="88" customWidth="1"/>
    <col min="5892" max="5892" width="8.875" style="88" bestFit="1" customWidth="1"/>
    <col min="5893" max="5893" width="14.375" style="88" bestFit="1" customWidth="1"/>
    <col min="5894" max="5894" width="11.25" style="88" customWidth="1"/>
    <col min="5895" max="5896" width="9" style="88"/>
    <col min="5897" max="5897" width="5.75" style="88" bestFit="1" customWidth="1"/>
    <col min="5898" max="5898" width="9.875" style="88" bestFit="1" customWidth="1"/>
    <col min="5899" max="5899" width="14.5" style="88" customWidth="1"/>
    <col min="5900" max="5900" width="12.75" style="88" customWidth="1"/>
    <col min="5901" max="6144" width="9" style="88"/>
    <col min="6145" max="6145" width="10.5" style="88" customWidth="1"/>
    <col min="6146" max="6146" width="6.5" style="88" customWidth="1"/>
    <col min="6147" max="6147" width="21.75" style="88" customWidth="1"/>
    <col min="6148" max="6148" width="8.875" style="88" bestFit="1" customWidth="1"/>
    <col min="6149" max="6149" width="14.375" style="88" bestFit="1" customWidth="1"/>
    <col min="6150" max="6150" width="11.25" style="88" customWidth="1"/>
    <col min="6151" max="6152" width="9" style="88"/>
    <col min="6153" max="6153" width="5.75" style="88" bestFit="1" customWidth="1"/>
    <col min="6154" max="6154" width="9.875" style="88" bestFit="1" customWidth="1"/>
    <col min="6155" max="6155" width="14.5" style="88" customWidth="1"/>
    <col min="6156" max="6156" width="12.75" style="88" customWidth="1"/>
    <col min="6157" max="6400" width="9" style="88"/>
    <col min="6401" max="6401" width="10.5" style="88" customWidth="1"/>
    <col min="6402" max="6402" width="6.5" style="88" customWidth="1"/>
    <col min="6403" max="6403" width="21.75" style="88" customWidth="1"/>
    <col min="6404" max="6404" width="8.875" style="88" bestFit="1" customWidth="1"/>
    <col min="6405" max="6405" width="14.375" style="88" bestFit="1" customWidth="1"/>
    <col min="6406" max="6406" width="11.25" style="88" customWidth="1"/>
    <col min="6407" max="6408" width="9" style="88"/>
    <col min="6409" max="6409" width="5.75" style="88" bestFit="1" customWidth="1"/>
    <col min="6410" max="6410" width="9.875" style="88" bestFit="1" customWidth="1"/>
    <col min="6411" max="6411" width="14.5" style="88" customWidth="1"/>
    <col min="6412" max="6412" width="12.75" style="88" customWidth="1"/>
    <col min="6413" max="6656" width="9" style="88"/>
    <col min="6657" max="6657" width="10.5" style="88" customWidth="1"/>
    <col min="6658" max="6658" width="6.5" style="88" customWidth="1"/>
    <col min="6659" max="6659" width="21.75" style="88" customWidth="1"/>
    <col min="6660" max="6660" width="8.875" style="88" bestFit="1" customWidth="1"/>
    <col min="6661" max="6661" width="14.375" style="88" bestFit="1" customWidth="1"/>
    <col min="6662" max="6662" width="11.25" style="88" customWidth="1"/>
    <col min="6663" max="6664" width="9" style="88"/>
    <col min="6665" max="6665" width="5.75" style="88" bestFit="1" customWidth="1"/>
    <col min="6666" max="6666" width="9.875" style="88" bestFit="1" customWidth="1"/>
    <col min="6667" max="6667" width="14.5" style="88" customWidth="1"/>
    <col min="6668" max="6668" width="12.75" style="88" customWidth="1"/>
    <col min="6669" max="6912" width="9" style="88"/>
    <col min="6913" max="6913" width="10.5" style="88" customWidth="1"/>
    <col min="6914" max="6914" width="6.5" style="88" customWidth="1"/>
    <col min="6915" max="6915" width="21.75" style="88" customWidth="1"/>
    <col min="6916" max="6916" width="8.875" style="88" bestFit="1" customWidth="1"/>
    <col min="6917" max="6917" width="14.375" style="88" bestFit="1" customWidth="1"/>
    <col min="6918" max="6918" width="11.25" style="88" customWidth="1"/>
    <col min="6919" max="6920" width="9" style="88"/>
    <col min="6921" max="6921" width="5.75" style="88" bestFit="1" customWidth="1"/>
    <col min="6922" max="6922" width="9.875" style="88" bestFit="1" customWidth="1"/>
    <col min="6923" max="6923" width="14.5" style="88" customWidth="1"/>
    <col min="6924" max="6924" width="12.75" style="88" customWidth="1"/>
    <col min="6925" max="7168" width="9" style="88"/>
    <col min="7169" max="7169" width="10.5" style="88" customWidth="1"/>
    <col min="7170" max="7170" width="6.5" style="88" customWidth="1"/>
    <col min="7171" max="7171" width="21.75" style="88" customWidth="1"/>
    <col min="7172" max="7172" width="8.875" style="88" bestFit="1" customWidth="1"/>
    <col min="7173" max="7173" width="14.375" style="88" bestFit="1" customWidth="1"/>
    <col min="7174" max="7174" width="11.25" style="88" customWidth="1"/>
    <col min="7175" max="7176" width="9" style="88"/>
    <col min="7177" max="7177" width="5.75" style="88" bestFit="1" customWidth="1"/>
    <col min="7178" max="7178" width="9.875" style="88" bestFit="1" customWidth="1"/>
    <col min="7179" max="7179" width="14.5" style="88" customWidth="1"/>
    <col min="7180" max="7180" width="12.75" style="88" customWidth="1"/>
    <col min="7181" max="7424" width="9" style="88"/>
    <col min="7425" max="7425" width="10.5" style="88" customWidth="1"/>
    <col min="7426" max="7426" width="6.5" style="88" customWidth="1"/>
    <col min="7427" max="7427" width="21.75" style="88" customWidth="1"/>
    <col min="7428" max="7428" width="8.875" style="88" bestFit="1" customWidth="1"/>
    <col min="7429" max="7429" width="14.375" style="88" bestFit="1" customWidth="1"/>
    <col min="7430" max="7430" width="11.25" style="88" customWidth="1"/>
    <col min="7431" max="7432" width="9" style="88"/>
    <col min="7433" max="7433" width="5.75" style="88" bestFit="1" customWidth="1"/>
    <col min="7434" max="7434" width="9.875" style="88" bestFit="1" customWidth="1"/>
    <col min="7435" max="7435" width="14.5" style="88" customWidth="1"/>
    <col min="7436" max="7436" width="12.75" style="88" customWidth="1"/>
    <col min="7437" max="7680" width="9" style="88"/>
    <col min="7681" max="7681" width="10.5" style="88" customWidth="1"/>
    <col min="7682" max="7682" width="6.5" style="88" customWidth="1"/>
    <col min="7683" max="7683" width="21.75" style="88" customWidth="1"/>
    <col min="7684" max="7684" width="8.875" style="88" bestFit="1" customWidth="1"/>
    <col min="7685" max="7685" width="14.375" style="88" bestFit="1" customWidth="1"/>
    <col min="7686" max="7686" width="11.25" style="88" customWidth="1"/>
    <col min="7687" max="7688" width="9" style="88"/>
    <col min="7689" max="7689" width="5.75" style="88" bestFit="1" customWidth="1"/>
    <col min="7690" max="7690" width="9.875" style="88" bestFit="1" customWidth="1"/>
    <col min="7691" max="7691" width="14.5" style="88" customWidth="1"/>
    <col min="7692" max="7692" width="12.75" style="88" customWidth="1"/>
    <col min="7693" max="7936" width="9" style="88"/>
    <col min="7937" max="7937" width="10.5" style="88" customWidth="1"/>
    <col min="7938" max="7938" width="6.5" style="88" customWidth="1"/>
    <col min="7939" max="7939" width="21.75" style="88" customWidth="1"/>
    <col min="7940" max="7940" width="8.875" style="88" bestFit="1" customWidth="1"/>
    <col min="7941" max="7941" width="14.375" style="88" bestFit="1" customWidth="1"/>
    <col min="7942" max="7942" width="11.25" style="88" customWidth="1"/>
    <col min="7943" max="7944" width="9" style="88"/>
    <col min="7945" max="7945" width="5.75" style="88" bestFit="1" customWidth="1"/>
    <col min="7946" max="7946" width="9.875" style="88" bestFit="1" customWidth="1"/>
    <col min="7947" max="7947" width="14.5" style="88" customWidth="1"/>
    <col min="7948" max="7948" width="12.75" style="88" customWidth="1"/>
    <col min="7949" max="8192" width="9" style="88"/>
    <col min="8193" max="8193" width="10.5" style="88" customWidth="1"/>
    <col min="8194" max="8194" width="6.5" style="88" customWidth="1"/>
    <col min="8195" max="8195" width="21.75" style="88" customWidth="1"/>
    <col min="8196" max="8196" width="8.875" style="88" bestFit="1" customWidth="1"/>
    <col min="8197" max="8197" width="14.375" style="88" bestFit="1" customWidth="1"/>
    <col min="8198" max="8198" width="11.25" style="88" customWidth="1"/>
    <col min="8199" max="8200" width="9" style="88"/>
    <col min="8201" max="8201" width="5.75" style="88" bestFit="1" customWidth="1"/>
    <col min="8202" max="8202" width="9.875" style="88" bestFit="1" customWidth="1"/>
    <col min="8203" max="8203" width="14.5" style="88" customWidth="1"/>
    <col min="8204" max="8204" width="12.75" style="88" customWidth="1"/>
    <col min="8205" max="8448" width="9" style="88"/>
    <col min="8449" max="8449" width="10.5" style="88" customWidth="1"/>
    <col min="8450" max="8450" width="6.5" style="88" customWidth="1"/>
    <col min="8451" max="8451" width="21.75" style="88" customWidth="1"/>
    <col min="8452" max="8452" width="8.875" style="88" bestFit="1" customWidth="1"/>
    <col min="8453" max="8453" width="14.375" style="88" bestFit="1" customWidth="1"/>
    <col min="8454" max="8454" width="11.25" style="88" customWidth="1"/>
    <col min="8455" max="8456" width="9" style="88"/>
    <col min="8457" max="8457" width="5.75" style="88" bestFit="1" customWidth="1"/>
    <col min="8458" max="8458" width="9.875" style="88" bestFit="1" customWidth="1"/>
    <col min="8459" max="8459" width="14.5" style="88" customWidth="1"/>
    <col min="8460" max="8460" width="12.75" style="88" customWidth="1"/>
    <col min="8461" max="8704" width="9" style="88"/>
    <col min="8705" max="8705" width="10.5" style="88" customWidth="1"/>
    <col min="8706" max="8706" width="6.5" style="88" customWidth="1"/>
    <col min="8707" max="8707" width="21.75" style="88" customWidth="1"/>
    <col min="8708" max="8708" width="8.875" style="88" bestFit="1" customWidth="1"/>
    <col min="8709" max="8709" width="14.375" style="88" bestFit="1" customWidth="1"/>
    <col min="8710" max="8710" width="11.25" style="88" customWidth="1"/>
    <col min="8711" max="8712" width="9" style="88"/>
    <col min="8713" max="8713" width="5.75" style="88" bestFit="1" customWidth="1"/>
    <col min="8714" max="8714" width="9.875" style="88" bestFit="1" customWidth="1"/>
    <col min="8715" max="8715" width="14.5" style="88" customWidth="1"/>
    <col min="8716" max="8716" width="12.75" style="88" customWidth="1"/>
    <col min="8717" max="8960" width="9" style="88"/>
    <col min="8961" max="8961" width="10.5" style="88" customWidth="1"/>
    <col min="8962" max="8962" width="6.5" style="88" customWidth="1"/>
    <col min="8963" max="8963" width="21.75" style="88" customWidth="1"/>
    <col min="8964" max="8964" width="8.875" style="88" bestFit="1" customWidth="1"/>
    <col min="8965" max="8965" width="14.375" style="88" bestFit="1" customWidth="1"/>
    <col min="8966" max="8966" width="11.25" style="88" customWidth="1"/>
    <col min="8967" max="8968" width="9" style="88"/>
    <col min="8969" max="8969" width="5.75" style="88" bestFit="1" customWidth="1"/>
    <col min="8970" max="8970" width="9.875" style="88" bestFit="1" customWidth="1"/>
    <col min="8971" max="8971" width="14.5" style="88" customWidth="1"/>
    <col min="8972" max="8972" width="12.75" style="88" customWidth="1"/>
    <col min="8973" max="9216" width="9" style="88"/>
    <col min="9217" max="9217" width="10.5" style="88" customWidth="1"/>
    <col min="9218" max="9218" width="6.5" style="88" customWidth="1"/>
    <col min="9219" max="9219" width="21.75" style="88" customWidth="1"/>
    <col min="9220" max="9220" width="8.875" style="88" bestFit="1" customWidth="1"/>
    <col min="9221" max="9221" width="14.375" style="88" bestFit="1" customWidth="1"/>
    <col min="9222" max="9222" width="11.25" style="88" customWidth="1"/>
    <col min="9223" max="9224" width="9" style="88"/>
    <col min="9225" max="9225" width="5.75" style="88" bestFit="1" customWidth="1"/>
    <col min="9226" max="9226" width="9.875" style="88" bestFit="1" customWidth="1"/>
    <col min="9227" max="9227" width="14.5" style="88" customWidth="1"/>
    <col min="9228" max="9228" width="12.75" style="88" customWidth="1"/>
    <col min="9229" max="9472" width="9" style="88"/>
    <col min="9473" max="9473" width="10.5" style="88" customWidth="1"/>
    <col min="9474" max="9474" width="6.5" style="88" customWidth="1"/>
    <col min="9475" max="9475" width="21.75" style="88" customWidth="1"/>
    <col min="9476" max="9476" width="8.875" style="88" bestFit="1" customWidth="1"/>
    <col min="9477" max="9477" width="14.375" style="88" bestFit="1" customWidth="1"/>
    <col min="9478" max="9478" width="11.25" style="88" customWidth="1"/>
    <col min="9479" max="9480" width="9" style="88"/>
    <col min="9481" max="9481" width="5.75" style="88" bestFit="1" customWidth="1"/>
    <col min="9482" max="9482" width="9.875" style="88" bestFit="1" customWidth="1"/>
    <col min="9483" max="9483" width="14.5" style="88" customWidth="1"/>
    <col min="9484" max="9484" width="12.75" style="88" customWidth="1"/>
    <col min="9485" max="9728" width="9" style="88"/>
    <col min="9729" max="9729" width="10.5" style="88" customWidth="1"/>
    <col min="9730" max="9730" width="6.5" style="88" customWidth="1"/>
    <col min="9731" max="9731" width="21.75" style="88" customWidth="1"/>
    <col min="9732" max="9732" width="8.875" style="88" bestFit="1" customWidth="1"/>
    <col min="9733" max="9733" width="14.375" style="88" bestFit="1" customWidth="1"/>
    <col min="9734" max="9734" width="11.25" style="88" customWidth="1"/>
    <col min="9735" max="9736" width="9" style="88"/>
    <col min="9737" max="9737" width="5.75" style="88" bestFit="1" customWidth="1"/>
    <col min="9738" max="9738" width="9.875" style="88" bestFit="1" customWidth="1"/>
    <col min="9739" max="9739" width="14.5" style="88" customWidth="1"/>
    <col min="9740" max="9740" width="12.75" style="88" customWidth="1"/>
    <col min="9741" max="9984" width="9" style="88"/>
    <col min="9985" max="9985" width="10.5" style="88" customWidth="1"/>
    <col min="9986" max="9986" width="6.5" style="88" customWidth="1"/>
    <col min="9987" max="9987" width="21.75" style="88" customWidth="1"/>
    <col min="9988" max="9988" width="8.875" style="88" bestFit="1" customWidth="1"/>
    <col min="9989" max="9989" width="14.375" style="88" bestFit="1" customWidth="1"/>
    <col min="9990" max="9990" width="11.25" style="88" customWidth="1"/>
    <col min="9991" max="9992" width="9" style="88"/>
    <col min="9993" max="9993" width="5.75" style="88" bestFit="1" customWidth="1"/>
    <col min="9994" max="9994" width="9.875" style="88" bestFit="1" customWidth="1"/>
    <col min="9995" max="9995" width="14.5" style="88" customWidth="1"/>
    <col min="9996" max="9996" width="12.75" style="88" customWidth="1"/>
    <col min="9997" max="10240" width="9" style="88"/>
    <col min="10241" max="10241" width="10.5" style="88" customWidth="1"/>
    <col min="10242" max="10242" width="6.5" style="88" customWidth="1"/>
    <col min="10243" max="10243" width="21.75" style="88" customWidth="1"/>
    <col min="10244" max="10244" width="8.875" style="88" bestFit="1" customWidth="1"/>
    <col min="10245" max="10245" width="14.375" style="88" bestFit="1" customWidth="1"/>
    <col min="10246" max="10246" width="11.25" style="88" customWidth="1"/>
    <col min="10247" max="10248" width="9" style="88"/>
    <col min="10249" max="10249" width="5.75" style="88" bestFit="1" customWidth="1"/>
    <col min="10250" max="10250" width="9.875" style="88" bestFit="1" customWidth="1"/>
    <col min="10251" max="10251" width="14.5" style="88" customWidth="1"/>
    <col min="10252" max="10252" width="12.75" style="88" customWidth="1"/>
    <col min="10253" max="10496" width="9" style="88"/>
    <col min="10497" max="10497" width="10.5" style="88" customWidth="1"/>
    <col min="10498" max="10498" width="6.5" style="88" customWidth="1"/>
    <col min="10499" max="10499" width="21.75" style="88" customWidth="1"/>
    <col min="10500" max="10500" width="8.875" style="88" bestFit="1" customWidth="1"/>
    <col min="10501" max="10501" width="14.375" style="88" bestFit="1" customWidth="1"/>
    <col min="10502" max="10502" width="11.25" style="88" customWidth="1"/>
    <col min="10503" max="10504" width="9" style="88"/>
    <col min="10505" max="10505" width="5.75" style="88" bestFit="1" customWidth="1"/>
    <col min="10506" max="10506" width="9.875" style="88" bestFit="1" customWidth="1"/>
    <col min="10507" max="10507" width="14.5" style="88" customWidth="1"/>
    <col min="10508" max="10508" width="12.75" style="88" customWidth="1"/>
    <col min="10509" max="10752" width="9" style="88"/>
    <col min="10753" max="10753" width="10.5" style="88" customWidth="1"/>
    <col min="10754" max="10754" width="6.5" style="88" customWidth="1"/>
    <col min="10755" max="10755" width="21.75" style="88" customWidth="1"/>
    <col min="10756" max="10756" width="8.875" style="88" bestFit="1" customWidth="1"/>
    <col min="10757" max="10757" width="14.375" style="88" bestFit="1" customWidth="1"/>
    <col min="10758" max="10758" width="11.25" style="88" customWidth="1"/>
    <col min="10759" max="10760" width="9" style="88"/>
    <col min="10761" max="10761" width="5.75" style="88" bestFit="1" customWidth="1"/>
    <col min="10762" max="10762" width="9.875" style="88" bestFit="1" customWidth="1"/>
    <col min="10763" max="10763" width="14.5" style="88" customWidth="1"/>
    <col min="10764" max="10764" width="12.75" style="88" customWidth="1"/>
    <col min="10765" max="11008" width="9" style="88"/>
    <col min="11009" max="11009" width="10.5" style="88" customWidth="1"/>
    <col min="11010" max="11010" width="6.5" style="88" customWidth="1"/>
    <col min="11011" max="11011" width="21.75" style="88" customWidth="1"/>
    <col min="11012" max="11012" width="8.875" style="88" bestFit="1" customWidth="1"/>
    <col min="11013" max="11013" width="14.375" style="88" bestFit="1" customWidth="1"/>
    <col min="11014" max="11014" width="11.25" style="88" customWidth="1"/>
    <col min="11015" max="11016" width="9" style="88"/>
    <col min="11017" max="11017" width="5.75" style="88" bestFit="1" customWidth="1"/>
    <col min="11018" max="11018" width="9.875" style="88" bestFit="1" customWidth="1"/>
    <col min="11019" max="11019" width="14.5" style="88" customWidth="1"/>
    <col min="11020" max="11020" width="12.75" style="88" customWidth="1"/>
    <col min="11021" max="11264" width="9" style="88"/>
    <col min="11265" max="11265" width="10.5" style="88" customWidth="1"/>
    <col min="11266" max="11266" width="6.5" style="88" customWidth="1"/>
    <col min="11267" max="11267" width="21.75" style="88" customWidth="1"/>
    <col min="11268" max="11268" width="8.875" style="88" bestFit="1" customWidth="1"/>
    <col min="11269" max="11269" width="14.375" style="88" bestFit="1" customWidth="1"/>
    <col min="11270" max="11270" width="11.25" style="88" customWidth="1"/>
    <col min="11271" max="11272" width="9" style="88"/>
    <col min="11273" max="11273" width="5.75" style="88" bestFit="1" customWidth="1"/>
    <col min="11274" max="11274" width="9.875" style="88" bestFit="1" customWidth="1"/>
    <col min="11275" max="11275" width="14.5" style="88" customWidth="1"/>
    <col min="11276" max="11276" width="12.75" style="88" customWidth="1"/>
    <col min="11277" max="11520" width="9" style="88"/>
    <col min="11521" max="11521" width="10.5" style="88" customWidth="1"/>
    <col min="11522" max="11522" width="6.5" style="88" customWidth="1"/>
    <col min="11523" max="11523" width="21.75" style="88" customWidth="1"/>
    <col min="11524" max="11524" width="8.875" style="88" bestFit="1" customWidth="1"/>
    <col min="11525" max="11525" width="14.375" style="88" bestFit="1" customWidth="1"/>
    <col min="11526" max="11526" width="11.25" style="88" customWidth="1"/>
    <col min="11527" max="11528" width="9" style="88"/>
    <col min="11529" max="11529" width="5.75" style="88" bestFit="1" customWidth="1"/>
    <col min="11530" max="11530" width="9.875" style="88" bestFit="1" customWidth="1"/>
    <col min="11531" max="11531" width="14.5" style="88" customWidth="1"/>
    <col min="11532" max="11532" width="12.75" style="88" customWidth="1"/>
    <col min="11533" max="11776" width="9" style="88"/>
    <col min="11777" max="11777" width="10.5" style="88" customWidth="1"/>
    <col min="11778" max="11778" width="6.5" style="88" customWidth="1"/>
    <col min="11779" max="11779" width="21.75" style="88" customWidth="1"/>
    <col min="11780" max="11780" width="8.875" style="88" bestFit="1" customWidth="1"/>
    <col min="11781" max="11781" width="14.375" style="88" bestFit="1" customWidth="1"/>
    <col min="11782" max="11782" width="11.25" style="88" customWidth="1"/>
    <col min="11783" max="11784" width="9" style="88"/>
    <col min="11785" max="11785" width="5.75" style="88" bestFit="1" customWidth="1"/>
    <col min="11786" max="11786" width="9.875" style="88" bestFit="1" customWidth="1"/>
    <col min="11787" max="11787" width="14.5" style="88" customWidth="1"/>
    <col min="11788" max="11788" width="12.75" style="88" customWidth="1"/>
    <col min="11789" max="12032" width="9" style="88"/>
    <col min="12033" max="12033" width="10.5" style="88" customWidth="1"/>
    <col min="12034" max="12034" width="6.5" style="88" customWidth="1"/>
    <col min="12035" max="12035" width="21.75" style="88" customWidth="1"/>
    <col min="12036" max="12036" width="8.875" style="88" bestFit="1" customWidth="1"/>
    <col min="12037" max="12037" width="14.375" style="88" bestFit="1" customWidth="1"/>
    <col min="12038" max="12038" width="11.25" style="88" customWidth="1"/>
    <col min="12039" max="12040" width="9" style="88"/>
    <col min="12041" max="12041" width="5.75" style="88" bestFit="1" customWidth="1"/>
    <col min="12042" max="12042" width="9.875" style="88" bestFit="1" customWidth="1"/>
    <col min="12043" max="12043" width="14.5" style="88" customWidth="1"/>
    <col min="12044" max="12044" width="12.75" style="88" customWidth="1"/>
    <col min="12045" max="12288" width="9" style="88"/>
    <col min="12289" max="12289" width="10.5" style="88" customWidth="1"/>
    <col min="12290" max="12290" width="6.5" style="88" customWidth="1"/>
    <col min="12291" max="12291" width="21.75" style="88" customWidth="1"/>
    <col min="12292" max="12292" width="8.875" style="88" bestFit="1" customWidth="1"/>
    <col min="12293" max="12293" width="14.375" style="88" bestFit="1" customWidth="1"/>
    <col min="12294" max="12294" width="11.25" style="88" customWidth="1"/>
    <col min="12295" max="12296" width="9" style="88"/>
    <col min="12297" max="12297" width="5.75" style="88" bestFit="1" customWidth="1"/>
    <col min="12298" max="12298" width="9.875" style="88" bestFit="1" customWidth="1"/>
    <col min="12299" max="12299" width="14.5" style="88" customWidth="1"/>
    <col min="12300" max="12300" width="12.75" style="88" customWidth="1"/>
    <col min="12301" max="12544" width="9" style="88"/>
    <col min="12545" max="12545" width="10.5" style="88" customWidth="1"/>
    <col min="12546" max="12546" width="6.5" style="88" customWidth="1"/>
    <col min="12547" max="12547" width="21.75" style="88" customWidth="1"/>
    <col min="12548" max="12548" width="8.875" style="88" bestFit="1" customWidth="1"/>
    <col min="12549" max="12549" width="14.375" style="88" bestFit="1" customWidth="1"/>
    <col min="12550" max="12550" width="11.25" style="88" customWidth="1"/>
    <col min="12551" max="12552" width="9" style="88"/>
    <col min="12553" max="12553" width="5.75" style="88" bestFit="1" customWidth="1"/>
    <col min="12554" max="12554" width="9.875" style="88" bestFit="1" customWidth="1"/>
    <col min="12555" max="12555" width="14.5" style="88" customWidth="1"/>
    <col min="12556" max="12556" width="12.75" style="88" customWidth="1"/>
    <col min="12557" max="12800" width="9" style="88"/>
    <col min="12801" max="12801" width="10.5" style="88" customWidth="1"/>
    <col min="12802" max="12802" width="6.5" style="88" customWidth="1"/>
    <col min="12803" max="12803" width="21.75" style="88" customWidth="1"/>
    <col min="12804" max="12804" width="8.875" style="88" bestFit="1" customWidth="1"/>
    <col min="12805" max="12805" width="14.375" style="88" bestFit="1" customWidth="1"/>
    <col min="12806" max="12806" width="11.25" style="88" customWidth="1"/>
    <col min="12807" max="12808" width="9" style="88"/>
    <col min="12809" max="12809" width="5.75" style="88" bestFit="1" customWidth="1"/>
    <col min="12810" max="12810" width="9.875" style="88" bestFit="1" customWidth="1"/>
    <col min="12811" max="12811" width="14.5" style="88" customWidth="1"/>
    <col min="12812" max="12812" width="12.75" style="88" customWidth="1"/>
    <col min="12813" max="13056" width="9" style="88"/>
    <col min="13057" max="13057" width="10.5" style="88" customWidth="1"/>
    <col min="13058" max="13058" width="6.5" style="88" customWidth="1"/>
    <col min="13059" max="13059" width="21.75" style="88" customWidth="1"/>
    <col min="13060" max="13060" width="8.875" style="88" bestFit="1" customWidth="1"/>
    <col min="13061" max="13061" width="14.375" style="88" bestFit="1" customWidth="1"/>
    <col min="13062" max="13062" width="11.25" style="88" customWidth="1"/>
    <col min="13063" max="13064" width="9" style="88"/>
    <col min="13065" max="13065" width="5.75" style="88" bestFit="1" customWidth="1"/>
    <col min="13066" max="13066" width="9.875" style="88" bestFit="1" customWidth="1"/>
    <col min="13067" max="13067" width="14.5" style="88" customWidth="1"/>
    <col min="13068" max="13068" width="12.75" style="88" customWidth="1"/>
    <col min="13069" max="13312" width="9" style="88"/>
    <col min="13313" max="13313" width="10.5" style="88" customWidth="1"/>
    <col min="13314" max="13314" width="6.5" style="88" customWidth="1"/>
    <col min="13315" max="13315" width="21.75" style="88" customWidth="1"/>
    <col min="13316" max="13316" width="8.875" style="88" bestFit="1" customWidth="1"/>
    <col min="13317" max="13317" width="14.375" style="88" bestFit="1" customWidth="1"/>
    <col min="13318" max="13318" width="11.25" style="88" customWidth="1"/>
    <col min="13319" max="13320" width="9" style="88"/>
    <col min="13321" max="13321" width="5.75" style="88" bestFit="1" customWidth="1"/>
    <col min="13322" max="13322" width="9.875" style="88" bestFit="1" customWidth="1"/>
    <col min="13323" max="13323" width="14.5" style="88" customWidth="1"/>
    <col min="13324" max="13324" width="12.75" style="88" customWidth="1"/>
    <col min="13325" max="13568" width="9" style="88"/>
    <col min="13569" max="13569" width="10.5" style="88" customWidth="1"/>
    <col min="13570" max="13570" width="6.5" style="88" customWidth="1"/>
    <col min="13571" max="13571" width="21.75" style="88" customWidth="1"/>
    <col min="13572" max="13572" width="8.875" style="88" bestFit="1" customWidth="1"/>
    <col min="13573" max="13573" width="14.375" style="88" bestFit="1" customWidth="1"/>
    <col min="13574" max="13574" width="11.25" style="88" customWidth="1"/>
    <col min="13575" max="13576" width="9" style="88"/>
    <col min="13577" max="13577" width="5.75" style="88" bestFit="1" customWidth="1"/>
    <col min="13578" max="13578" width="9.875" style="88" bestFit="1" customWidth="1"/>
    <col min="13579" max="13579" width="14.5" style="88" customWidth="1"/>
    <col min="13580" max="13580" width="12.75" style="88" customWidth="1"/>
    <col min="13581" max="13824" width="9" style="88"/>
    <col min="13825" max="13825" width="10.5" style="88" customWidth="1"/>
    <col min="13826" max="13826" width="6.5" style="88" customWidth="1"/>
    <col min="13827" max="13827" width="21.75" style="88" customWidth="1"/>
    <col min="13828" max="13828" width="8.875" style="88" bestFit="1" customWidth="1"/>
    <col min="13829" max="13829" width="14.375" style="88" bestFit="1" customWidth="1"/>
    <col min="13830" max="13830" width="11.25" style="88" customWidth="1"/>
    <col min="13831" max="13832" width="9" style="88"/>
    <col min="13833" max="13833" width="5.75" style="88" bestFit="1" customWidth="1"/>
    <col min="13834" max="13834" width="9.875" style="88" bestFit="1" customWidth="1"/>
    <col min="13835" max="13835" width="14.5" style="88" customWidth="1"/>
    <col min="13836" max="13836" width="12.75" style="88" customWidth="1"/>
    <col min="13837" max="14080" width="9" style="88"/>
    <col min="14081" max="14081" width="10.5" style="88" customWidth="1"/>
    <col min="14082" max="14082" width="6.5" style="88" customWidth="1"/>
    <col min="14083" max="14083" width="21.75" style="88" customWidth="1"/>
    <col min="14084" max="14084" width="8.875" style="88" bestFit="1" customWidth="1"/>
    <col min="14085" max="14085" width="14.375" style="88" bestFit="1" customWidth="1"/>
    <col min="14086" max="14086" width="11.25" style="88" customWidth="1"/>
    <col min="14087" max="14088" width="9" style="88"/>
    <col min="14089" max="14089" width="5.75" style="88" bestFit="1" customWidth="1"/>
    <col min="14090" max="14090" width="9.875" style="88" bestFit="1" customWidth="1"/>
    <col min="14091" max="14091" width="14.5" style="88" customWidth="1"/>
    <col min="14092" max="14092" width="12.75" style="88" customWidth="1"/>
    <col min="14093" max="14336" width="9" style="88"/>
    <col min="14337" max="14337" width="10.5" style="88" customWidth="1"/>
    <col min="14338" max="14338" width="6.5" style="88" customWidth="1"/>
    <col min="14339" max="14339" width="21.75" style="88" customWidth="1"/>
    <col min="14340" max="14340" width="8.875" style="88" bestFit="1" customWidth="1"/>
    <col min="14341" max="14341" width="14.375" style="88" bestFit="1" customWidth="1"/>
    <col min="14342" max="14342" width="11.25" style="88" customWidth="1"/>
    <col min="14343" max="14344" width="9" style="88"/>
    <col min="14345" max="14345" width="5.75" style="88" bestFit="1" customWidth="1"/>
    <col min="14346" max="14346" width="9.875" style="88" bestFit="1" customWidth="1"/>
    <col min="14347" max="14347" width="14.5" style="88" customWidth="1"/>
    <col min="14348" max="14348" width="12.75" style="88" customWidth="1"/>
    <col min="14349" max="14592" width="9" style="88"/>
    <col min="14593" max="14593" width="10.5" style="88" customWidth="1"/>
    <col min="14594" max="14594" width="6.5" style="88" customWidth="1"/>
    <col min="14595" max="14595" width="21.75" style="88" customWidth="1"/>
    <col min="14596" max="14596" width="8.875" style="88" bestFit="1" customWidth="1"/>
    <col min="14597" max="14597" width="14.375" style="88" bestFit="1" customWidth="1"/>
    <col min="14598" max="14598" width="11.25" style="88" customWidth="1"/>
    <col min="14599" max="14600" width="9" style="88"/>
    <col min="14601" max="14601" width="5.75" style="88" bestFit="1" customWidth="1"/>
    <col min="14602" max="14602" width="9.875" style="88" bestFit="1" customWidth="1"/>
    <col min="14603" max="14603" width="14.5" style="88" customWidth="1"/>
    <col min="14604" max="14604" width="12.75" style="88" customWidth="1"/>
    <col min="14605" max="14848" width="9" style="88"/>
    <col min="14849" max="14849" width="10.5" style="88" customWidth="1"/>
    <col min="14850" max="14850" width="6.5" style="88" customWidth="1"/>
    <col min="14851" max="14851" width="21.75" style="88" customWidth="1"/>
    <col min="14852" max="14852" width="8.875" style="88" bestFit="1" customWidth="1"/>
    <col min="14853" max="14853" width="14.375" style="88" bestFit="1" customWidth="1"/>
    <col min="14854" max="14854" width="11.25" style="88" customWidth="1"/>
    <col min="14855" max="14856" width="9" style="88"/>
    <col min="14857" max="14857" width="5.75" style="88" bestFit="1" customWidth="1"/>
    <col min="14858" max="14858" width="9.875" style="88" bestFit="1" customWidth="1"/>
    <col min="14859" max="14859" width="14.5" style="88" customWidth="1"/>
    <col min="14860" max="14860" width="12.75" style="88" customWidth="1"/>
    <col min="14861" max="15104" width="9" style="88"/>
    <col min="15105" max="15105" width="10.5" style="88" customWidth="1"/>
    <col min="15106" max="15106" width="6.5" style="88" customWidth="1"/>
    <col min="15107" max="15107" width="21.75" style="88" customWidth="1"/>
    <col min="15108" max="15108" width="8.875" style="88" bestFit="1" customWidth="1"/>
    <col min="15109" max="15109" width="14.375" style="88" bestFit="1" customWidth="1"/>
    <col min="15110" max="15110" width="11.25" style="88" customWidth="1"/>
    <col min="15111" max="15112" width="9" style="88"/>
    <col min="15113" max="15113" width="5.75" style="88" bestFit="1" customWidth="1"/>
    <col min="15114" max="15114" width="9.875" style="88" bestFit="1" customWidth="1"/>
    <col min="15115" max="15115" width="14.5" style="88" customWidth="1"/>
    <col min="15116" max="15116" width="12.75" style="88" customWidth="1"/>
    <col min="15117" max="15360" width="9" style="88"/>
    <col min="15361" max="15361" width="10.5" style="88" customWidth="1"/>
    <col min="15362" max="15362" width="6.5" style="88" customWidth="1"/>
    <col min="15363" max="15363" width="21.75" style="88" customWidth="1"/>
    <col min="15364" max="15364" width="8.875" style="88" bestFit="1" customWidth="1"/>
    <col min="15365" max="15365" width="14.375" style="88" bestFit="1" customWidth="1"/>
    <col min="15366" max="15366" width="11.25" style="88" customWidth="1"/>
    <col min="15367" max="15368" width="9" style="88"/>
    <col min="15369" max="15369" width="5.75" style="88" bestFit="1" customWidth="1"/>
    <col min="15370" max="15370" width="9.875" style="88" bestFit="1" customWidth="1"/>
    <col min="15371" max="15371" width="14.5" style="88" customWidth="1"/>
    <col min="15372" max="15372" width="12.75" style="88" customWidth="1"/>
    <col min="15373" max="15616" width="9" style="88"/>
    <col min="15617" max="15617" width="10.5" style="88" customWidth="1"/>
    <col min="15618" max="15618" width="6.5" style="88" customWidth="1"/>
    <col min="15619" max="15619" width="21.75" style="88" customWidth="1"/>
    <col min="15620" max="15620" width="8.875" style="88" bestFit="1" customWidth="1"/>
    <col min="15621" max="15621" width="14.375" style="88" bestFit="1" customWidth="1"/>
    <col min="15622" max="15622" width="11.25" style="88" customWidth="1"/>
    <col min="15623" max="15624" width="9" style="88"/>
    <col min="15625" max="15625" width="5.75" style="88" bestFit="1" customWidth="1"/>
    <col min="15626" max="15626" width="9.875" style="88" bestFit="1" customWidth="1"/>
    <col min="15627" max="15627" width="14.5" style="88" customWidth="1"/>
    <col min="15628" max="15628" width="12.75" style="88" customWidth="1"/>
    <col min="15629" max="15872" width="9" style="88"/>
    <col min="15873" max="15873" width="10.5" style="88" customWidth="1"/>
    <col min="15874" max="15874" width="6.5" style="88" customWidth="1"/>
    <col min="15875" max="15875" width="21.75" style="88" customWidth="1"/>
    <col min="15876" max="15876" width="8.875" style="88" bestFit="1" customWidth="1"/>
    <col min="15877" max="15877" width="14.375" style="88" bestFit="1" customWidth="1"/>
    <col min="15878" max="15878" width="11.25" style="88" customWidth="1"/>
    <col min="15879" max="15880" width="9" style="88"/>
    <col min="15881" max="15881" width="5.75" style="88" bestFit="1" customWidth="1"/>
    <col min="15882" max="15882" width="9.875" style="88" bestFit="1" customWidth="1"/>
    <col min="15883" max="15883" width="14.5" style="88" customWidth="1"/>
    <col min="15884" max="15884" width="12.75" style="88" customWidth="1"/>
    <col min="15885" max="16128" width="9" style="88"/>
    <col min="16129" max="16129" width="10.5" style="88" customWidth="1"/>
    <col min="16130" max="16130" width="6.5" style="88" customWidth="1"/>
    <col min="16131" max="16131" width="21.75" style="88" customWidth="1"/>
    <col min="16132" max="16132" width="8.875" style="88" bestFit="1" customWidth="1"/>
    <col min="16133" max="16133" width="14.375" style="88" bestFit="1" customWidth="1"/>
    <col min="16134" max="16134" width="11.25" style="88" customWidth="1"/>
    <col min="16135" max="16136" width="9" style="88"/>
    <col min="16137" max="16137" width="5.75" style="88" bestFit="1" customWidth="1"/>
    <col min="16138" max="16138" width="9.875" style="88" bestFit="1" customWidth="1"/>
    <col min="16139" max="16139" width="14.5" style="88" customWidth="1"/>
    <col min="16140" max="16140" width="12.75" style="88" customWidth="1"/>
    <col min="16141" max="16384" width="9" style="88"/>
  </cols>
  <sheetData>
    <row r="1" spans="1:16">
      <c r="C1" s="89" t="s">
        <v>305</v>
      </c>
    </row>
    <row r="2" spans="1:16">
      <c r="C2" s="91" t="s">
        <v>306</v>
      </c>
      <c r="D2" s="92">
        <f>11000/40000</f>
        <v>0.27500000000000002</v>
      </c>
    </row>
    <row r="3" spans="1:16">
      <c r="C3" s="91" t="s">
        <v>307</v>
      </c>
      <c r="D3" s="92">
        <f>10000/40000</f>
        <v>0.25</v>
      </c>
    </row>
    <row r="4" spans="1:16">
      <c r="C4" s="91" t="s">
        <v>308</v>
      </c>
      <c r="D4" s="92">
        <f>10000/50000</f>
        <v>0.2</v>
      </c>
    </row>
    <row r="6" spans="1:16">
      <c r="A6" s="89" t="s">
        <v>309</v>
      </c>
      <c r="C6" s="89" t="s">
        <v>310</v>
      </c>
      <c r="J6" s="89" t="s">
        <v>309</v>
      </c>
      <c r="K6" s="89" t="s">
        <v>311</v>
      </c>
    </row>
    <row r="7" spans="1:16">
      <c r="C7" s="89" t="s">
        <v>312</v>
      </c>
      <c r="E7" s="93" t="s">
        <v>313</v>
      </c>
      <c r="F7" s="94" t="s">
        <v>314</v>
      </c>
      <c r="J7" s="95"/>
      <c r="K7" s="89" t="s">
        <v>315</v>
      </c>
      <c r="L7" s="96" t="s">
        <v>316</v>
      </c>
    </row>
    <row r="8" spans="1:16">
      <c r="A8" s="95">
        <v>1.25</v>
      </c>
      <c r="B8" s="91"/>
      <c r="C8" s="88" t="s">
        <v>317</v>
      </c>
      <c r="D8" s="88">
        <f>D48</f>
        <v>430000</v>
      </c>
      <c r="F8" s="90">
        <v>1</v>
      </c>
      <c r="J8" s="97">
        <v>0.5</v>
      </c>
      <c r="K8" s="88" t="s">
        <v>318</v>
      </c>
      <c r="L8" s="88">
        <f>D2*P10</f>
        <v>266750</v>
      </c>
      <c r="N8" s="88" t="s">
        <v>319</v>
      </c>
      <c r="P8" s="88">
        <f>D53+220000-100000</f>
        <v>1120000</v>
      </c>
    </row>
    <row r="9" spans="1:16">
      <c r="A9" s="95">
        <v>0.5</v>
      </c>
      <c r="C9" s="88" t="s">
        <v>320</v>
      </c>
      <c r="D9" s="88">
        <f>D2*D73</f>
        <v>56375.000000000007</v>
      </c>
      <c r="F9" s="90">
        <v>2</v>
      </c>
      <c r="J9" s="97">
        <v>0.5</v>
      </c>
      <c r="K9" s="88" t="s">
        <v>321</v>
      </c>
      <c r="L9" s="88">
        <f>D2*D93</f>
        <v>13200.000000000002</v>
      </c>
      <c r="N9" s="88" t="s">
        <v>322</v>
      </c>
      <c r="P9" s="98">
        <f>D57</f>
        <v>-150000</v>
      </c>
    </row>
    <row r="10" spans="1:16">
      <c r="A10" s="95">
        <v>0.5</v>
      </c>
      <c r="C10" s="88" t="s">
        <v>323</v>
      </c>
      <c r="D10" s="88">
        <f>-D2*D78</f>
        <v>-23375.000000000004</v>
      </c>
      <c r="F10" s="90">
        <v>3</v>
      </c>
      <c r="J10" s="97">
        <v>0.5</v>
      </c>
      <c r="K10" s="88" t="s">
        <v>324</v>
      </c>
      <c r="L10" s="88">
        <f>D2*D100</f>
        <v>-62040.000000000007</v>
      </c>
      <c r="N10" s="88" t="s">
        <v>325</v>
      </c>
      <c r="P10" s="88">
        <f>P8+P9</f>
        <v>970000</v>
      </c>
    </row>
    <row r="11" spans="1:16">
      <c r="A11" s="95"/>
      <c r="C11" s="99" t="s">
        <v>326</v>
      </c>
      <c r="F11" s="90"/>
      <c r="J11" s="97">
        <v>1</v>
      </c>
      <c r="K11" s="99" t="s">
        <v>327</v>
      </c>
    </row>
    <row r="12" spans="1:16">
      <c r="A12" s="95">
        <v>0.5</v>
      </c>
      <c r="C12" s="88" t="s">
        <v>328</v>
      </c>
      <c r="D12" s="88">
        <f>-D82*0.8</f>
        <v>-6600</v>
      </c>
      <c r="F12" s="90">
        <v>4</v>
      </c>
      <c r="J12" s="97"/>
      <c r="K12" s="88" t="s">
        <v>329</v>
      </c>
      <c r="L12" s="88">
        <f>D85</f>
        <v>3666.6666666666715</v>
      </c>
    </row>
    <row r="13" spans="1:16">
      <c r="A13" s="95">
        <v>0.5</v>
      </c>
      <c r="C13" s="88" t="s">
        <v>330</v>
      </c>
      <c r="D13" s="88">
        <f>-D86*0.8</f>
        <v>-5866.6666666666633</v>
      </c>
      <c r="F13" s="90">
        <v>4</v>
      </c>
      <c r="J13" s="97"/>
      <c r="K13" s="88" t="s">
        <v>9</v>
      </c>
      <c r="L13" s="88">
        <f>-L12*0.2</f>
        <v>-733.33333333333439</v>
      </c>
    </row>
    <row r="14" spans="1:16">
      <c r="A14" s="95">
        <v>0.5</v>
      </c>
      <c r="C14" s="88" t="s">
        <v>331</v>
      </c>
      <c r="D14" s="88">
        <f>-D64/23*0.8</f>
        <v>-1798.2608695652177</v>
      </c>
      <c r="F14" s="90"/>
      <c r="J14" s="97"/>
      <c r="K14" s="88" t="s">
        <v>331</v>
      </c>
      <c r="L14" s="88">
        <f>D64*22/23</f>
        <v>49452.173913043487</v>
      </c>
    </row>
    <row r="15" spans="1:16">
      <c r="A15" s="95">
        <v>0.5</v>
      </c>
      <c r="B15" s="89"/>
      <c r="C15" s="88" t="s">
        <v>332</v>
      </c>
      <c r="D15" s="88">
        <f>-D66/9.5*0.8</f>
        <v>-463.15789473684208</v>
      </c>
      <c r="F15" s="90"/>
      <c r="J15" s="97"/>
      <c r="K15" s="88" t="s">
        <v>9</v>
      </c>
      <c r="L15" s="88">
        <f>-L14*0.2</f>
        <v>-9890.4347826086978</v>
      </c>
    </row>
    <row r="16" spans="1:16">
      <c r="A16" s="95">
        <v>0.75</v>
      </c>
      <c r="C16" s="88" t="s">
        <v>333</v>
      </c>
      <c r="D16" s="88">
        <f>D2*(D93-D54)</f>
        <v>2200</v>
      </c>
      <c r="F16" s="90">
        <v>5</v>
      </c>
      <c r="G16" s="91"/>
      <c r="J16" s="97"/>
      <c r="K16" s="88" t="s">
        <v>332</v>
      </c>
      <c r="L16" s="88">
        <f>D111</f>
        <v>2750</v>
      </c>
    </row>
    <row r="17" spans="1:16">
      <c r="A17" s="95">
        <v>0.75</v>
      </c>
      <c r="C17" s="88" t="s">
        <v>334</v>
      </c>
      <c r="D17" s="88">
        <f>D2*(D100-D55)</f>
        <v>-20680</v>
      </c>
      <c r="F17" s="90">
        <v>6</v>
      </c>
      <c r="J17" s="97"/>
      <c r="K17" s="88" t="s">
        <v>9</v>
      </c>
      <c r="L17" s="88">
        <f>-0.2*L16</f>
        <v>-550</v>
      </c>
    </row>
    <row r="18" spans="1:16">
      <c r="A18" s="95">
        <v>0.75</v>
      </c>
      <c r="C18" s="88" t="s">
        <v>335</v>
      </c>
      <c r="D18" s="98">
        <f>-D112*0.8</f>
        <v>-1736.8421052631581</v>
      </c>
      <c r="E18" s="100"/>
      <c r="F18" s="90">
        <v>7</v>
      </c>
      <c r="J18" s="97"/>
      <c r="K18" s="88" t="s">
        <v>33</v>
      </c>
      <c r="L18" s="98">
        <f>D68</f>
        <v>165449.99999999997</v>
      </c>
    </row>
    <row r="19" spans="1:16">
      <c r="A19" s="95"/>
      <c r="C19" s="101" t="s">
        <v>316</v>
      </c>
      <c r="D19" s="88">
        <f>SUM(D8:D18)</f>
        <v>428055.07246376807</v>
      </c>
      <c r="E19" s="90">
        <v>0</v>
      </c>
      <c r="F19" s="90"/>
      <c r="J19" s="97"/>
      <c r="L19" s="88">
        <f>SUM(L8:L18)</f>
        <v>428055.07246376807</v>
      </c>
      <c r="M19" s="88">
        <f>D19-L19</f>
        <v>0</v>
      </c>
    </row>
    <row r="20" spans="1:16">
      <c r="A20" s="95">
        <v>0.5</v>
      </c>
      <c r="C20" s="88" t="s">
        <v>336</v>
      </c>
      <c r="D20" s="88">
        <f>D2*D117</f>
        <v>29745.833333333336</v>
      </c>
      <c r="F20" s="90">
        <v>8</v>
      </c>
      <c r="J20" s="97"/>
    </row>
    <row r="21" spans="1:16">
      <c r="A21" s="95"/>
      <c r="C21" s="99" t="s">
        <v>326</v>
      </c>
      <c r="F21" s="90"/>
      <c r="J21" s="97"/>
    </row>
    <row r="22" spans="1:16">
      <c r="A22" s="95">
        <v>0.5</v>
      </c>
      <c r="C22" s="88" t="s">
        <v>329</v>
      </c>
      <c r="D22" s="88">
        <f>-D85*0.8</f>
        <v>-2933.3333333333376</v>
      </c>
      <c r="F22" s="90"/>
      <c r="J22" s="97"/>
      <c r="K22" s="88" t="s">
        <v>337</v>
      </c>
      <c r="L22" s="96" t="s">
        <v>338</v>
      </c>
    </row>
    <row r="23" spans="1:16">
      <c r="A23" s="95">
        <v>0.5</v>
      </c>
      <c r="C23" s="88" t="s">
        <v>331</v>
      </c>
      <c r="D23" s="88">
        <f>D14*0.5</f>
        <v>-899.13043478260886</v>
      </c>
      <c r="F23" s="90"/>
      <c r="J23" s="97"/>
      <c r="K23" s="88" t="s">
        <v>318</v>
      </c>
      <c r="L23" s="88">
        <f>D2*P25</f>
        <v>296495.83333333337</v>
      </c>
      <c r="N23" s="88" t="s">
        <v>319</v>
      </c>
      <c r="P23" s="88">
        <f>P8+(50000)+220000*0.5</f>
        <v>1280000</v>
      </c>
    </row>
    <row r="24" spans="1:16">
      <c r="A24" s="95">
        <v>0.5</v>
      </c>
      <c r="C24" s="88" t="s">
        <v>332</v>
      </c>
      <c r="D24" s="88">
        <f>-D111*0.5/8.5*0.8</f>
        <v>-129.41176470588235</v>
      </c>
      <c r="F24" s="90"/>
      <c r="J24" s="97"/>
      <c r="K24" s="88" t="s">
        <v>321</v>
      </c>
      <c r="L24" s="88">
        <f>D122</f>
        <v>0</v>
      </c>
      <c r="N24" s="88" t="s">
        <v>322</v>
      </c>
      <c r="P24" s="98">
        <f>P9-(50000*0.11*4/12)-50000</f>
        <v>-201833.33333333334</v>
      </c>
    </row>
    <row r="25" spans="1:16">
      <c r="A25" s="95">
        <v>1</v>
      </c>
      <c r="C25" s="88" t="s">
        <v>333</v>
      </c>
      <c r="D25" s="88">
        <f>D124</f>
        <v>-13200.000000000002</v>
      </c>
      <c r="F25" s="90">
        <v>9</v>
      </c>
      <c r="J25" s="97"/>
      <c r="K25" s="88" t="s">
        <v>324</v>
      </c>
      <c r="L25" s="88">
        <f>D2*D133</f>
        <v>-88880</v>
      </c>
      <c r="N25" s="88" t="s">
        <v>325</v>
      </c>
      <c r="P25" s="88">
        <f>P23+P24</f>
        <v>1078166.6666666667</v>
      </c>
    </row>
    <row r="26" spans="1:16">
      <c r="A26" s="95">
        <v>1</v>
      </c>
      <c r="C26" s="88" t="s">
        <v>334</v>
      </c>
      <c r="D26" s="88">
        <f>D2*D135</f>
        <v>-26840.000000000004</v>
      </c>
      <c r="F26" s="90">
        <v>10</v>
      </c>
      <c r="J26" s="97"/>
      <c r="K26" s="99" t="s">
        <v>327</v>
      </c>
    </row>
    <row r="27" spans="1:16">
      <c r="A27" s="95">
        <v>0.75</v>
      </c>
      <c r="C27" s="88" t="s">
        <v>335</v>
      </c>
      <c r="D27" s="98">
        <f>-D148*0.8</f>
        <v>-970.58823529411757</v>
      </c>
      <c r="F27" s="90">
        <v>11</v>
      </c>
      <c r="J27" s="97"/>
      <c r="K27" s="88" t="s">
        <v>331</v>
      </c>
      <c r="L27" s="88">
        <f>L14*21.5/22</f>
        <v>48328.260869565231</v>
      </c>
    </row>
    <row r="28" spans="1:16">
      <c r="A28" s="95"/>
      <c r="C28" s="102" t="s">
        <v>339</v>
      </c>
      <c r="D28" s="88">
        <f>SUM(D19:D27)</f>
        <v>412828.44202898548</v>
      </c>
      <c r="F28" s="90"/>
      <c r="J28" s="97"/>
      <c r="K28" s="88" t="s">
        <v>9</v>
      </c>
      <c r="L28" s="88">
        <f>-L27*0.2</f>
        <v>-9665.6521739130458</v>
      </c>
    </row>
    <row r="29" spans="1:16">
      <c r="A29" s="95">
        <v>1</v>
      </c>
      <c r="C29" s="88" t="s">
        <v>340</v>
      </c>
      <c r="D29" s="88">
        <f>D30-D28</f>
        <v>-37529.858366271423</v>
      </c>
      <c r="F29" s="90">
        <v>12</v>
      </c>
      <c r="J29" s="97"/>
      <c r="K29" s="88" t="s">
        <v>332</v>
      </c>
      <c r="L29" s="88">
        <f>D147</f>
        <v>1375</v>
      </c>
    </row>
    <row r="30" spans="1:16">
      <c r="A30" s="95"/>
      <c r="C30" s="102" t="s">
        <v>341</v>
      </c>
      <c r="D30" s="88">
        <f>D3/D2*D28</f>
        <v>375298.58366271405</v>
      </c>
      <c r="F30" s="90"/>
      <c r="J30" s="97"/>
      <c r="K30" s="88" t="s">
        <v>9</v>
      </c>
      <c r="L30" s="88">
        <f>-L29*0.2</f>
        <v>-275</v>
      </c>
    </row>
    <row r="31" spans="1:16">
      <c r="A31" s="95">
        <v>0.75</v>
      </c>
      <c r="C31" s="88" t="s">
        <v>342</v>
      </c>
      <c r="D31" s="98"/>
      <c r="E31" s="100">
        <f>30*10000-D30</f>
        <v>-75298.583662714052</v>
      </c>
      <c r="F31" s="90">
        <v>13</v>
      </c>
      <c r="J31" s="97"/>
      <c r="K31" s="88" t="s">
        <v>33</v>
      </c>
      <c r="L31" s="98">
        <f>L18</f>
        <v>165449.99999999997</v>
      </c>
    </row>
    <row r="32" spans="1:16">
      <c r="A32" s="95"/>
      <c r="C32" s="101" t="s">
        <v>343</v>
      </c>
      <c r="D32" s="88">
        <f>D30</f>
        <v>375298.58366271405</v>
      </c>
      <c r="E32" s="90">
        <f>E31</f>
        <v>-75298.583662714052</v>
      </c>
      <c r="F32" s="90"/>
      <c r="J32" s="97"/>
      <c r="L32" s="88">
        <f>SUM(L23:L31)</f>
        <v>412828.44202898553</v>
      </c>
      <c r="M32" s="88">
        <f>D28-L32</f>
        <v>0</v>
      </c>
    </row>
    <row r="33" spans="1:16">
      <c r="A33" s="95">
        <v>0.5</v>
      </c>
      <c r="C33" s="88" t="s">
        <v>344</v>
      </c>
      <c r="D33" s="88">
        <f>D3*D163</f>
        <v>23062.5</v>
      </c>
      <c r="F33" s="90">
        <v>14</v>
      </c>
      <c r="J33" s="97"/>
    </row>
    <row r="34" spans="1:16">
      <c r="A34" s="95">
        <v>0.5</v>
      </c>
      <c r="C34" s="88" t="s">
        <v>323</v>
      </c>
      <c r="D34" s="88">
        <f>-D3*D168</f>
        <v>-22604.166666666668</v>
      </c>
      <c r="F34" s="90">
        <v>15</v>
      </c>
      <c r="J34" s="97"/>
    </row>
    <row r="35" spans="1:16">
      <c r="A35" s="95"/>
      <c r="C35" s="99" t="s">
        <v>326</v>
      </c>
      <c r="F35" s="90"/>
      <c r="J35" s="97"/>
      <c r="K35" s="88" t="s">
        <v>345</v>
      </c>
      <c r="L35" s="96" t="s">
        <v>338</v>
      </c>
    </row>
    <row r="36" spans="1:16">
      <c r="A36" s="95">
        <v>0.5</v>
      </c>
      <c r="C36" s="88" t="s">
        <v>331</v>
      </c>
      <c r="D36" s="88">
        <f>-L39*0.5/21.5*0.8</f>
        <v>-817.39130434782635</v>
      </c>
      <c r="F36" s="90"/>
      <c r="J36" s="97"/>
      <c r="K36" s="88" t="s">
        <v>318</v>
      </c>
      <c r="L36" s="88">
        <f>D3*P25</f>
        <v>269541.66666666669</v>
      </c>
    </row>
    <row r="37" spans="1:16">
      <c r="A37" s="95">
        <v>0.5</v>
      </c>
      <c r="C37" s="88" t="s">
        <v>332</v>
      </c>
      <c r="D37" s="88">
        <f>-L41*0.5/8*0.8</f>
        <v>-62.5</v>
      </c>
      <c r="F37" s="90"/>
      <c r="J37" s="97"/>
      <c r="K37" s="88" t="s">
        <v>324</v>
      </c>
      <c r="L37" s="88">
        <f>D3*D133</f>
        <v>-80800</v>
      </c>
    </row>
    <row r="38" spans="1:16">
      <c r="A38" s="95">
        <v>0.75</v>
      </c>
      <c r="C38" s="88" t="s">
        <v>334</v>
      </c>
      <c r="D38" s="88">
        <f>D3*D179</f>
        <v>-400</v>
      </c>
      <c r="F38" s="90">
        <v>16</v>
      </c>
      <c r="J38" s="97"/>
      <c r="K38" s="99" t="s">
        <v>327</v>
      </c>
    </row>
    <row r="39" spans="1:16">
      <c r="A39" s="95">
        <v>0.75</v>
      </c>
      <c r="B39" s="89"/>
      <c r="C39" s="88" t="s">
        <v>346</v>
      </c>
      <c r="D39" s="98">
        <f>D192*0.8</f>
        <v>2062.5</v>
      </c>
      <c r="F39" s="90">
        <v>17</v>
      </c>
      <c r="J39" s="97"/>
      <c r="K39" s="88" t="s">
        <v>331</v>
      </c>
      <c r="L39" s="88">
        <f>L27*D3/D2</f>
        <v>43934.782608695663</v>
      </c>
    </row>
    <row r="40" spans="1:16">
      <c r="A40" s="95"/>
      <c r="B40" s="89"/>
      <c r="C40" s="88" t="s">
        <v>347</v>
      </c>
      <c r="D40" s="88">
        <f>SUM(D32:D39)</f>
        <v>376539.52569169953</v>
      </c>
      <c r="F40" s="90"/>
      <c r="J40" s="97"/>
      <c r="K40" s="88" t="s">
        <v>9</v>
      </c>
      <c r="L40" s="88">
        <f>-L39*0.2</f>
        <v>-8786.9565217391337</v>
      </c>
    </row>
    <row r="41" spans="1:16">
      <c r="A41" s="95">
        <v>0.75</v>
      </c>
      <c r="B41" s="89"/>
      <c r="C41" s="88" t="s">
        <v>340</v>
      </c>
      <c r="D41" s="88">
        <f>D42-D40</f>
        <v>-19307.905138339906</v>
      </c>
      <c r="F41" s="90">
        <v>18</v>
      </c>
      <c r="J41" s="97"/>
      <c r="K41" s="88" t="s">
        <v>332</v>
      </c>
      <c r="L41" s="88">
        <f>L29*D3/D2</f>
        <v>1250</v>
      </c>
    </row>
    <row r="42" spans="1:16">
      <c r="A42" s="95"/>
      <c r="B42" s="89"/>
      <c r="C42" s="88" t="s">
        <v>348</v>
      </c>
      <c r="D42" s="88">
        <f>(D40/0.25+280000)*0.2</f>
        <v>357231.62055335962</v>
      </c>
      <c r="F42" s="90"/>
      <c r="J42" s="97"/>
      <c r="K42" s="88" t="s">
        <v>9</v>
      </c>
      <c r="L42" s="88">
        <f>-L41*0.2</f>
        <v>-250</v>
      </c>
    </row>
    <row r="43" spans="1:16">
      <c r="A43" s="95">
        <v>0.75</v>
      </c>
      <c r="B43" s="89"/>
      <c r="C43" s="88" t="s">
        <v>342</v>
      </c>
      <c r="D43" s="98"/>
      <c r="E43" s="100">
        <f>E44-E32</f>
        <v>-1933.0368906455697</v>
      </c>
      <c r="F43" s="90">
        <v>19</v>
      </c>
      <c r="J43" s="97"/>
      <c r="K43" s="88" t="s">
        <v>33</v>
      </c>
      <c r="L43" s="98">
        <f>L31*D3/D2</f>
        <v>150409.09090909088</v>
      </c>
    </row>
    <row r="44" spans="1:16">
      <c r="A44" s="103"/>
      <c r="B44" s="89"/>
      <c r="C44" s="101" t="s">
        <v>349</v>
      </c>
      <c r="D44" s="88">
        <f>D42</f>
        <v>357231.62055335962</v>
      </c>
      <c r="E44" s="90">
        <f>-D202</f>
        <v>-77231.620553359622</v>
      </c>
      <c r="J44" s="97"/>
      <c r="L44" s="88">
        <f>SUM(L36:L43)</f>
        <v>375298.58366271411</v>
      </c>
      <c r="M44" s="88">
        <f>D32-L44</f>
        <v>0</v>
      </c>
    </row>
    <row r="45" spans="1:16">
      <c r="A45" s="104">
        <f>SUM(A8:A44)</f>
        <v>18</v>
      </c>
      <c r="B45" s="89"/>
      <c r="J45" s="97"/>
    </row>
    <row r="46" spans="1:16">
      <c r="A46" s="105"/>
      <c r="B46" s="89"/>
      <c r="J46" s="97"/>
    </row>
    <row r="47" spans="1:16">
      <c r="B47" s="88">
        <v>1</v>
      </c>
      <c r="C47" s="89" t="s">
        <v>350</v>
      </c>
      <c r="D47" s="96"/>
      <c r="G47" s="91"/>
      <c r="J47" s="97"/>
      <c r="K47" s="88" t="s">
        <v>351</v>
      </c>
      <c r="L47" s="96" t="s">
        <v>308</v>
      </c>
    </row>
    <row r="48" spans="1:16">
      <c r="C48" s="88" t="s">
        <v>142</v>
      </c>
      <c r="D48" s="88">
        <v>430000</v>
      </c>
      <c r="J48" s="97"/>
      <c r="K48" s="88" t="s">
        <v>318</v>
      </c>
      <c r="L48" s="88">
        <f>D3*P50</f>
        <v>270000</v>
      </c>
      <c r="N48" s="88" t="s">
        <v>319</v>
      </c>
      <c r="P48" s="88">
        <f>P23+220000*0.5-110000</f>
        <v>1280000</v>
      </c>
    </row>
    <row r="49" spans="1:16">
      <c r="C49" s="88" t="s">
        <v>352</v>
      </c>
      <c r="D49" s="98">
        <f>D2*D58</f>
        <v>203390.00000000003</v>
      </c>
      <c r="E49" s="106"/>
      <c r="J49" s="97"/>
      <c r="N49" s="88" t="s">
        <v>322</v>
      </c>
      <c r="P49" s="98">
        <f>-150000-50000</f>
        <v>-200000</v>
      </c>
    </row>
    <row r="50" spans="1:16">
      <c r="D50" s="88">
        <f>D48-D49</f>
        <v>226609.99999999997</v>
      </c>
      <c r="J50" s="97"/>
      <c r="K50" s="88" t="s">
        <v>324</v>
      </c>
      <c r="L50" s="88">
        <f>D3*D175</f>
        <v>-81200</v>
      </c>
      <c r="N50" s="88" t="s">
        <v>325</v>
      </c>
      <c r="P50" s="88">
        <f>P48+P49</f>
        <v>1080000</v>
      </c>
    </row>
    <row r="51" spans="1:16">
      <c r="B51" s="89"/>
      <c r="J51" s="97"/>
      <c r="K51" s="99" t="s">
        <v>327</v>
      </c>
    </row>
    <row r="52" spans="1:16">
      <c r="C52" s="89" t="s">
        <v>353</v>
      </c>
      <c r="D52" s="96"/>
      <c r="J52" s="97"/>
      <c r="K52" s="88" t="s">
        <v>329</v>
      </c>
      <c r="L52" s="88">
        <v>0</v>
      </c>
    </row>
    <row r="53" spans="1:16">
      <c r="C53" s="88" t="s">
        <v>148</v>
      </c>
      <c r="D53" s="88">
        <v>1000000</v>
      </c>
      <c r="G53" s="91"/>
      <c r="J53" s="97"/>
      <c r="K53" s="88" t="s">
        <v>9</v>
      </c>
      <c r="L53" s="88">
        <v>0</v>
      </c>
    </row>
    <row r="54" spans="1:16">
      <c r="C54" s="88" t="s">
        <v>321</v>
      </c>
      <c r="D54" s="88">
        <f>(180000-130000)*0.8</f>
        <v>40000</v>
      </c>
      <c r="J54" s="97"/>
      <c r="K54" s="88" t="s">
        <v>331</v>
      </c>
      <c r="L54" s="88">
        <f>L39*21/21.5</f>
        <v>42913.043478260879</v>
      </c>
    </row>
    <row r="55" spans="1:16">
      <c r="C55" s="88" t="s">
        <v>324</v>
      </c>
      <c r="D55" s="98">
        <f>(1100000*23/25-1200000)*0.8</f>
        <v>-150400</v>
      </c>
      <c r="J55" s="97"/>
      <c r="K55" s="88" t="s">
        <v>9</v>
      </c>
      <c r="L55" s="88">
        <f>-L54*0.2</f>
        <v>-8582.6086956521758</v>
      </c>
    </row>
    <row r="56" spans="1:16">
      <c r="C56" s="88" t="s">
        <v>354</v>
      </c>
      <c r="D56" s="88">
        <f>SUM(D53:D55)</f>
        <v>889600</v>
      </c>
      <c r="J56" s="97"/>
      <c r="K56" s="88" t="s">
        <v>332</v>
      </c>
      <c r="L56" s="88">
        <f>D191</f>
        <v>3750</v>
      </c>
    </row>
    <row r="57" spans="1:16">
      <c r="A57" s="105"/>
      <c r="B57" s="89"/>
      <c r="C57" s="88" t="s">
        <v>355</v>
      </c>
      <c r="D57" s="98">
        <f>-150000</f>
        <v>-150000</v>
      </c>
      <c r="J57" s="97"/>
      <c r="K57" s="88" t="s">
        <v>9</v>
      </c>
      <c r="L57" s="88">
        <f>-L56*0.2</f>
        <v>-750</v>
      </c>
    </row>
    <row r="58" spans="1:16">
      <c r="A58" s="105"/>
      <c r="C58" s="88" t="s">
        <v>356</v>
      </c>
      <c r="D58" s="88">
        <f>SUM(D56:D57)</f>
        <v>739600</v>
      </c>
      <c r="J58" s="97"/>
      <c r="K58" s="88" t="s">
        <v>33</v>
      </c>
      <c r="L58" s="98">
        <f>L43</f>
        <v>150409.09090909088</v>
      </c>
    </row>
    <row r="59" spans="1:16">
      <c r="A59" s="105"/>
      <c r="C59" s="90"/>
      <c r="J59" s="97"/>
      <c r="L59" s="88">
        <f>SUM(L48:L58)</f>
        <v>376539.52569169959</v>
      </c>
      <c r="M59" s="88">
        <f>D40-L59</f>
        <v>0</v>
      </c>
    </row>
    <row r="60" spans="1:16">
      <c r="A60" s="105"/>
      <c r="J60" s="97"/>
    </row>
    <row r="61" spans="1:16">
      <c r="A61" s="105"/>
      <c r="C61" s="89" t="s">
        <v>357</v>
      </c>
      <c r="J61" s="97"/>
    </row>
    <row r="62" spans="1:16">
      <c r="A62" s="105"/>
      <c r="B62" s="89"/>
      <c r="C62" s="88" t="s">
        <v>329</v>
      </c>
      <c r="D62" s="88">
        <f>D2*(120000/0.3*0.7-300000*0.7)</f>
        <v>19250</v>
      </c>
      <c r="E62" s="94"/>
      <c r="J62" s="97"/>
      <c r="K62" s="88" t="s">
        <v>358</v>
      </c>
      <c r="L62" s="96" t="s">
        <v>308</v>
      </c>
      <c r="N62" s="88" t="s">
        <v>319</v>
      </c>
      <c r="P62" s="88">
        <f>P48+280000</f>
        <v>1560000</v>
      </c>
    </row>
    <row r="63" spans="1:16">
      <c r="A63" s="105"/>
      <c r="C63" s="88" t="s">
        <v>9</v>
      </c>
      <c r="D63" s="88">
        <f>-D62*0.2</f>
        <v>-3850</v>
      </c>
      <c r="J63" s="97">
        <v>0.5</v>
      </c>
      <c r="K63" s="88" t="s">
        <v>318</v>
      </c>
      <c r="L63" s="88">
        <f>D4*P64</f>
        <v>272000</v>
      </c>
      <c r="N63" s="88" t="s">
        <v>322</v>
      </c>
      <c r="P63" s="98">
        <f>-150000-50000</f>
        <v>-200000</v>
      </c>
    </row>
    <row r="64" spans="1:16">
      <c r="A64" s="105"/>
      <c r="C64" s="88" t="s">
        <v>359</v>
      </c>
      <c r="D64" s="88">
        <f>D2*(1200000-1100000*23/25)</f>
        <v>51700.000000000007</v>
      </c>
      <c r="J64" s="97">
        <v>0.5</v>
      </c>
      <c r="K64" s="88" t="s">
        <v>324</v>
      </c>
      <c r="L64" s="88">
        <f>D4*D177</f>
        <v>-64960</v>
      </c>
      <c r="N64" s="88" t="s">
        <v>325</v>
      </c>
      <c r="P64" s="88">
        <f>P62+P63</f>
        <v>1360000</v>
      </c>
    </row>
    <row r="65" spans="1:13">
      <c r="A65" s="105"/>
      <c r="C65" s="88" t="s">
        <v>360</v>
      </c>
      <c r="D65" s="88">
        <f>-D64*0.2</f>
        <v>-10340.000000000002</v>
      </c>
      <c r="J65" s="97">
        <v>1</v>
      </c>
      <c r="K65" s="99" t="s">
        <v>327</v>
      </c>
    </row>
    <row r="66" spans="1:13">
      <c r="A66" s="105"/>
      <c r="C66" s="88" t="s">
        <v>332</v>
      </c>
      <c r="D66" s="88">
        <f>D2*(210000-220000*9.5/11)</f>
        <v>5500</v>
      </c>
      <c r="J66" s="97"/>
      <c r="K66" s="88" t="s">
        <v>331</v>
      </c>
      <c r="L66" s="88">
        <f>L54*D4/D3</f>
        <v>34330.434782608703</v>
      </c>
    </row>
    <row r="67" spans="1:13">
      <c r="A67" s="105"/>
      <c r="C67" s="88" t="s">
        <v>9</v>
      </c>
      <c r="D67" s="88">
        <f>-D66*0.2</f>
        <v>-1100</v>
      </c>
      <c r="J67" s="97"/>
      <c r="K67" s="88" t="s">
        <v>9</v>
      </c>
      <c r="L67" s="88">
        <f>-L66*0.2</f>
        <v>-6866.0869565217408</v>
      </c>
    </row>
    <row r="68" spans="1:13">
      <c r="A68" s="105"/>
      <c r="C68" s="88" t="s">
        <v>33</v>
      </c>
      <c r="D68" s="98">
        <f>D69-SUM(D62:D67)</f>
        <v>165449.99999999997</v>
      </c>
      <c r="J68" s="97"/>
      <c r="K68" s="88" t="s">
        <v>332</v>
      </c>
      <c r="L68" s="88">
        <f>L56*D4/D3</f>
        <v>3000</v>
      </c>
    </row>
    <row r="69" spans="1:13">
      <c r="A69" s="105"/>
      <c r="B69" s="89"/>
      <c r="D69" s="88">
        <f>D50</f>
        <v>226609.99999999997</v>
      </c>
      <c r="E69" s="94"/>
      <c r="J69" s="97"/>
      <c r="K69" s="88" t="s">
        <v>9</v>
      </c>
      <c r="L69" s="88">
        <f>-L68*0.2</f>
        <v>-600</v>
      </c>
    </row>
    <row r="70" spans="1:13">
      <c r="J70" s="97"/>
      <c r="K70" s="88" t="s">
        <v>33</v>
      </c>
      <c r="L70" s="98">
        <f>L58*D4/D3</f>
        <v>120327.27272727271</v>
      </c>
    </row>
    <row r="71" spans="1:13">
      <c r="B71" s="88">
        <v>2</v>
      </c>
      <c r="C71" s="93" t="s">
        <v>320</v>
      </c>
      <c r="J71" s="97"/>
      <c r="L71" s="88">
        <f>SUM(L63:L70)</f>
        <v>357231.62055335968</v>
      </c>
      <c r="M71" s="88">
        <f>D42-L71</f>
        <v>0</v>
      </c>
    </row>
    <row r="72" spans="1:13">
      <c r="C72" s="88" t="s">
        <v>361</v>
      </c>
      <c r="D72" s="88">
        <f>150000*0.1</f>
        <v>15000</v>
      </c>
      <c r="J72" s="97"/>
    </row>
    <row r="73" spans="1:13">
      <c r="C73" s="88" t="s">
        <v>362</v>
      </c>
      <c r="D73" s="98">
        <f>D74-D72</f>
        <v>205000</v>
      </c>
      <c r="J73" s="107">
        <f>SUM(J7:J72)</f>
        <v>4.5</v>
      </c>
    </row>
    <row r="74" spans="1:13">
      <c r="A74" s="105"/>
      <c r="B74" s="89"/>
      <c r="D74" s="88">
        <v>220000</v>
      </c>
      <c r="J74" s="97"/>
    </row>
    <row r="75" spans="1:13">
      <c r="J75" s="97">
        <v>2</v>
      </c>
      <c r="K75" s="89" t="s">
        <v>363</v>
      </c>
    </row>
    <row r="76" spans="1:13">
      <c r="B76" s="88">
        <v>3</v>
      </c>
      <c r="C76" s="89" t="s">
        <v>323</v>
      </c>
      <c r="L76" s="108">
        <v>2012</v>
      </c>
      <c r="M76" s="108">
        <v>2013</v>
      </c>
    </row>
    <row r="77" spans="1:13">
      <c r="C77" s="88" t="s">
        <v>361</v>
      </c>
      <c r="D77" s="88">
        <f>D72</f>
        <v>15000</v>
      </c>
      <c r="J77" s="88" t="s">
        <v>364</v>
      </c>
      <c r="K77" s="88" t="s">
        <v>320</v>
      </c>
      <c r="L77" s="88">
        <f>D9+D12+D13+D14+D15+D17+D18</f>
        <v>19230.072463768131</v>
      </c>
      <c r="M77" s="88">
        <f>D20+D22+D23+D24+D26+D27+D33+D36+D37+D38+D39+(D25-M79)</f>
        <v>10818.478260869559</v>
      </c>
    </row>
    <row r="78" spans="1:13">
      <c r="C78" s="88" t="s">
        <v>362</v>
      </c>
      <c r="D78" s="98">
        <f>D79-D77</f>
        <v>85000</v>
      </c>
      <c r="K78" s="88" t="s">
        <v>365</v>
      </c>
      <c r="M78" s="88">
        <f>G152+G156+G195+G200</f>
        <v>104069.38405797095</v>
      </c>
    </row>
    <row r="79" spans="1:13">
      <c r="D79" s="88">
        <v>100000</v>
      </c>
      <c r="J79" s="88" t="s">
        <v>366</v>
      </c>
      <c r="K79" s="88" t="s">
        <v>66</v>
      </c>
      <c r="L79" s="88">
        <f>D16</f>
        <v>2200</v>
      </c>
      <c r="M79" s="88">
        <f>-L79</f>
        <v>-2200</v>
      </c>
    </row>
    <row r="81" spans="2:13">
      <c r="B81" s="88">
        <v>4</v>
      </c>
      <c r="C81" s="89" t="s">
        <v>367</v>
      </c>
      <c r="H81" s="109" t="s">
        <v>309</v>
      </c>
      <c r="J81" s="109">
        <f>M81+L81</f>
        <v>2</v>
      </c>
      <c r="L81" s="88">
        <v>1</v>
      </c>
      <c r="M81" s="88">
        <v>1</v>
      </c>
    </row>
    <row r="82" spans="2:13">
      <c r="C82" s="88" t="s">
        <v>368</v>
      </c>
      <c r="D82" s="88">
        <f>D62*0.3/0.7</f>
        <v>8250</v>
      </c>
    </row>
    <row r="83" spans="2:13">
      <c r="C83" s="99" t="s">
        <v>369</v>
      </c>
    </row>
    <row r="84" spans="2:13">
      <c r="C84" s="88" t="s">
        <v>370</v>
      </c>
      <c r="D84" s="88">
        <f>D62-D82</f>
        <v>11000</v>
      </c>
      <c r="H84" s="109" t="s">
        <v>34</v>
      </c>
      <c r="J84" s="109">
        <f>J81+J73+A45</f>
        <v>24.5</v>
      </c>
    </row>
    <row r="85" spans="2:13">
      <c r="C85" s="88" t="s">
        <v>371</v>
      </c>
      <c r="D85" s="98">
        <f>D2*0.4*(100000/0.3-300000)</f>
        <v>3666.6666666666715</v>
      </c>
    </row>
    <row r="86" spans="2:13">
      <c r="C86" s="88" t="s">
        <v>372</v>
      </c>
      <c r="D86" s="88">
        <f>D84-D85</f>
        <v>7333.3333333333285</v>
      </c>
    </row>
    <row r="88" spans="2:13">
      <c r="B88" s="88">
        <v>5</v>
      </c>
      <c r="C88" s="89" t="s">
        <v>373</v>
      </c>
    </row>
    <row r="89" spans="2:13">
      <c r="C89" s="89"/>
      <c r="D89" s="110" t="s">
        <v>316</v>
      </c>
    </row>
    <row r="90" spans="2:13">
      <c r="C90" s="88" t="s">
        <v>374</v>
      </c>
      <c r="D90" s="88">
        <v>130000</v>
      </c>
    </row>
    <row r="91" spans="2:13">
      <c r="C91" s="88" t="s">
        <v>375</v>
      </c>
      <c r="D91" s="98">
        <v>190000</v>
      </c>
    </row>
    <row r="92" spans="2:13">
      <c r="D92" s="88">
        <f>D91-D90</f>
        <v>60000</v>
      </c>
    </row>
    <row r="93" spans="2:13">
      <c r="C93" s="88" t="s">
        <v>376</v>
      </c>
      <c r="D93" s="88">
        <f>D92*0.8</f>
        <v>48000</v>
      </c>
    </row>
    <row r="96" spans="2:13">
      <c r="B96" s="88">
        <v>6</v>
      </c>
      <c r="C96" s="89" t="s">
        <v>377</v>
      </c>
    </row>
    <row r="97" spans="2:4">
      <c r="C97" s="88" t="s">
        <v>378</v>
      </c>
      <c r="D97" s="88">
        <v>1250000</v>
      </c>
    </row>
    <row r="98" spans="2:4">
      <c r="C98" s="88" t="s">
        <v>379</v>
      </c>
      <c r="D98" s="98">
        <f>1100000*22/25</f>
        <v>968000</v>
      </c>
    </row>
    <row r="99" spans="2:4">
      <c r="D99" s="88">
        <f>D98-D97</f>
        <v>-282000</v>
      </c>
    </row>
    <row r="100" spans="2:4">
      <c r="C100" s="88" t="s">
        <v>376</v>
      </c>
      <c r="D100" s="88">
        <f>D99*0.8</f>
        <v>-225600</v>
      </c>
    </row>
    <row r="102" spans="2:4">
      <c r="B102" s="88">
        <v>7</v>
      </c>
      <c r="C102" s="89" t="s">
        <v>335</v>
      </c>
    </row>
    <row r="103" spans="2:4">
      <c r="C103" s="99" t="s">
        <v>380</v>
      </c>
    </row>
    <row r="104" spans="2:4">
      <c r="C104" s="88" t="s">
        <v>381</v>
      </c>
      <c r="D104" s="88">
        <f>220000*8.5/11</f>
        <v>170000</v>
      </c>
    </row>
    <row r="105" spans="2:4">
      <c r="C105" s="88" t="s">
        <v>382</v>
      </c>
      <c r="D105" s="88">
        <v>180000</v>
      </c>
    </row>
    <row r="106" spans="2:4">
      <c r="C106" s="99" t="s">
        <v>383</v>
      </c>
    </row>
    <row r="107" spans="2:4">
      <c r="C107" s="88" t="s">
        <v>384</v>
      </c>
      <c r="D107" s="88">
        <f>210000*8.5/9.5</f>
        <v>187894.73684210525</v>
      </c>
    </row>
    <row r="108" spans="2:4">
      <c r="C108" s="88" t="s">
        <v>382</v>
      </c>
      <c r="D108" s="88">
        <v>180000</v>
      </c>
    </row>
    <row r="110" spans="2:4">
      <c r="C110" s="88" t="s">
        <v>385</v>
      </c>
      <c r="D110" s="88">
        <f>D66*8.5/9.5</f>
        <v>4921.0526315789475</v>
      </c>
    </row>
    <row r="111" spans="2:4">
      <c r="C111" s="88" t="s">
        <v>386</v>
      </c>
      <c r="D111" s="98">
        <f>D2*(D108-D104)</f>
        <v>2750</v>
      </c>
    </row>
    <row r="112" spans="2:4">
      <c r="C112" s="88" t="s">
        <v>387</v>
      </c>
      <c r="D112" s="88">
        <f>D110-D111</f>
        <v>2171.0526315789475</v>
      </c>
    </row>
    <row r="114" spans="2:4">
      <c r="B114" s="88">
        <v>8</v>
      </c>
      <c r="C114" s="93" t="s">
        <v>320</v>
      </c>
    </row>
    <row r="115" spans="2:4">
      <c r="C115" s="88" t="s">
        <v>388</v>
      </c>
      <c r="D115" s="88">
        <v>0</v>
      </c>
    </row>
    <row r="116" spans="2:4">
      <c r="C116" s="88" t="s">
        <v>389</v>
      </c>
      <c r="D116" s="88">
        <f>50000*0.11*4/12</f>
        <v>1833.3333333333333</v>
      </c>
    </row>
    <row r="117" spans="2:4">
      <c r="C117" s="88" t="s">
        <v>362</v>
      </c>
      <c r="D117" s="98">
        <f>D118-D115-D116</f>
        <v>108166.66666666667</v>
      </c>
    </row>
    <row r="118" spans="2:4">
      <c r="B118" s="89"/>
      <c r="D118" s="88">
        <v>110000</v>
      </c>
    </row>
    <row r="120" spans="2:4">
      <c r="B120" s="88">
        <v>9</v>
      </c>
      <c r="C120" s="89" t="s">
        <v>373</v>
      </c>
    </row>
    <row r="121" spans="2:4">
      <c r="C121" s="89"/>
      <c r="D121" s="110" t="s">
        <v>338</v>
      </c>
    </row>
    <row r="122" spans="2:4">
      <c r="C122" s="88" t="s">
        <v>390</v>
      </c>
      <c r="D122" s="88">
        <v>0</v>
      </c>
    </row>
    <row r="123" spans="2:4">
      <c r="C123" s="88" t="s">
        <v>391</v>
      </c>
      <c r="D123" s="98">
        <f>L9</f>
        <v>13200.000000000002</v>
      </c>
    </row>
    <row r="124" spans="2:4">
      <c r="C124" s="88" t="s">
        <v>392</v>
      </c>
      <c r="D124" s="88">
        <f>D122-D123</f>
        <v>-13200.000000000002</v>
      </c>
    </row>
    <row r="127" spans="2:4">
      <c r="B127" s="88">
        <v>10</v>
      </c>
      <c r="C127" s="89" t="s">
        <v>377</v>
      </c>
      <c r="D127" s="110" t="s">
        <v>338</v>
      </c>
    </row>
    <row r="128" spans="2:4">
      <c r="C128" s="88" t="s">
        <v>378</v>
      </c>
      <c r="D128" s="88">
        <v>1350000</v>
      </c>
    </row>
    <row r="129" spans="2:4">
      <c r="C129" s="88" t="s">
        <v>379</v>
      </c>
      <c r="D129" s="98">
        <f>1100000*21.5/25</f>
        <v>946000</v>
      </c>
    </row>
    <row r="130" spans="2:4">
      <c r="D130" s="88">
        <f>D129-D128</f>
        <v>-404000</v>
      </c>
    </row>
    <row r="131" spans="2:4">
      <c r="C131" s="88" t="s">
        <v>393</v>
      </c>
      <c r="D131" s="88">
        <f>D130*0.8</f>
        <v>-323200</v>
      </c>
    </row>
    <row r="133" spans="2:4">
      <c r="C133" s="88" t="s">
        <v>394</v>
      </c>
      <c r="D133" s="88">
        <f>D131</f>
        <v>-323200</v>
      </c>
    </row>
    <row r="134" spans="2:4">
      <c r="C134" s="88" t="s">
        <v>395</v>
      </c>
      <c r="D134" s="98">
        <f>D100</f>
        <v>-225600</v>
      </c>
    </row>
    <row r="135" spans="2:4">
      <c r="C135" s="88" t="s">
        <v>392</v>
      </c>
      <c r="D135" s="88">
        <f>D133-D134</f>
        <v>-97600</v>
      </c>
    </row>
    <row r="138" spans="2:4">
      <c r="B138" s="88">
        <v>11</v>
      </c>
      <c r="C138" s="89" t="s">
        <v>335</v>
      </c>
      <c r="D138" s="91" t="s">
        <v>338</v>
      </c>
    </row>
    <row r="139" spans="2:4">
      <c r="C139" s="99" t="s">
        <v>380</v>
      </c>
    </row>
    <row r="140" spans="2:4">
      <c r="C140" s="88" t="s">
        <v>381</v>
      </c>
      <c r="D140" s="88">
        <f>220000*8/11</f>
        <v>160000</v>
      </c>
    </row>
    <row r="141" spans="2:4">
      <c r="C141" s="88" t="s">
        <v>382</v>
      </c>
      <c r="D141" s="88">
        <v>165000</v>
      </c>
    </row>
    <row r="142" spans="2:4">
      <c r="C142" s="99" t="s">
        <v>383</v>
      </c>
    </row>
    <row r="143" spans="2:4">
      <c r="C143" s="88" t="s">
        <v>384</v>
      </c>
      <c r="D143" s="88">
        <f>210000*8/9.5</f>
        <v>176842.10526315789</v>
      </c>
    </row>
    <row r="144" spans="2:4">
      <c r="C144" s="88" t="s">
        <v>382</v>
      </c>
      <c r="D144" s="88">
        <f>D141</f>
        <v>165000</v>
      </c>
    </row>
    <row r="146" spans="2:9">
      <c r="C146" s="88" t="s">
        <v>385</v>
      </c>
      <c r="D146" s="88">
        <f>L16*8/8.5</f>
        <v>2588.2352941176468</v>
      </c>
    </row>
    <row r="147" spans="2:9">
      <c r="C147" s="88" t="s">
        <v>386</v>
      </c>
      <c r="D147" s="98">
        <f>D2*(D144-D140)</f>
        <v>1375</v>
      </c>
    </row>
    <row r="148" spans="2:9">
      <c r="C148" s="88" t="s">
        <v>387</v>
      </c>
      <c r="D148" s="88">
        <f>D146-D147</f>
        <v>1213.2352941176468</v>
      </c>
    </row>
    <row r="150" spans="2:9">
      <c r="B150" s="88">
        <v>12</v>
      </c>
      <c r="C150" s="89" t="s">
        <v>340</v>
      </c>
    </row>
    <row r="151" spans="2:9">
      <c r="C151" s="88" t="s">
        <v>396</v>
      </c>
      <c r="D151" s="88">
        <f>L32</f>
        <v>412828.44202898553</v>
      </c>
      <c r="F151" s="88" t="s">
        <v>397</v>
      </c>
      <c r="G151" s="88">
        <v>30000</v>
      </c>
    </row>
    <row r="152" spans="2:9">
      <c r="C152" s="88" t="s">
        <v>398</v>
      </c>
      <c r="D152" s="98">
        <f>L44</f>
        <v>375298.58366271411</v>
      </c>
      <c r="F152" s="88" t="s">
        <v>399</v>
      </c>
      <c r="G152" s="88">
        <f>H153-G151</f>
        <v>7529.8583662714227</v>
      </c>
    </row>
    <row r="153" spans="2:9">
      <c r="D153" s="88">
        <f>D151-D152</f>
        <v>37529.858366271423</v>
      </c>
      <c r="G153" s="88" t="s">
        <v>400</v>
      </c>
      <c r="H153" s="88">
        <f>D153</f>
        <v>37529.858366271423</v>
      </c>
    </row>
    <row r="155" spans="2:9">
      <c r="B155" s="88">
        <v>13</v>
      </c>
      <c r="C155" s="89" t="s">
        <v>342</v>
      </c>
    </row>
    <row r="156" spans="2:9">
      <c r="C156" s="88" t="s">
        <v>401</v>
      </c>
      <c r="D156" s="88">
        <f>D152</f>
        <v>375298.58366271411</v>
      </c>
      <c r="F156" s="88" t="s">
        <v>399</v>
      </c>
      <c r="G156" s="88">
        <f>D158</f>
        <v>75298.583662714111</v>
      </c>
    </row>
    <row r="157" spans="2:9">
      <c r="C157" s="88" t="s">
        <v>402</v>
      </c>
      <c r="D157" s="98">
        <f>30000/1000*10000</f>
        <v>300000</v>
      </c>
      <c r="G157" s="88" t="s">
        <v>403</v>
      </c>
      <c r="I157" s="88">
        <f>G156</f>
        <v>75298.583662714111</v>
      </c>
    </row>
    <row r="158" spans="2:9">
      <c r="C158" s="88" t="s">
        <v>313</v>
      </c>
      <c r="D158" s="88">
        <f>D156-D157</f>
        <v>75298.583662714111</v>
      </c>
    </row>
    <row r="160" spans="2:9">
      <c r="B160" s="88">
        <v>14</v>
      </c>
      <c r="C160" s="93" t="s">
        <v>320</v>
      </c>
    </row>
    <row r="161" spans="2:4">
      <c r="C161" s="88" t="s">
        <v>388</v>
      </c>
      <c r="D161" s="88">
        <f>D77</f>
        <v>15000</v>
      </c>
    </row>
    <row r="162" spans="2:4">
      <c r="C162" s="88" t="s">
        <v>389</v>
      </c>
      <c r="D162" s="88">
        <f>50000*0.11*6/12</f>
        <v>2750</v>
      </c>
    </row>
    <row r="163" spans="2:4">
      <c r="C163" s="88" t="s">
        <v>362</v>
      </c>
      <c r="D163" s="98">
        <f>D164-D161-D162</f>
        <v>92250</v>
      </c>
    </row>
    <row r="164" spans="2:4">
      <c r="B164" s="89"/>
      <c r="D164" s="88">
        <v>110000</v>
      </c>
    </row>
    <row r="166" spans="2:4">
      <c r="B166" s="88">
        <v>15</v>
      </c>
      <c r="C166" s="89" t="s">
        <v>323</v>
      </c>
    </row>
    <row r="167" spans="2:4">
      <c r="C167" s="88" t="s">
        <v>361</v>
      </c>
      <c r="D167" s="88">
        <f>D161+D162+D116</f>
        <v>19583.333333333332</v>
      </c>
    </row>
    <row r="168" spans="2:4">
      <c r="C168" s="88" t="s">
        <v>362</v>
      </c>
      <c r="D168" s="98">
        <f>D169-D167</f>
        <v>90416.666666666672</v>
      </c>
    </row>
    <row r="169" spans="2:4">
      <c r="D169" s="88">
        <v>110000</v>
      </c>
    </row>
    <row r="171" spans="2:4">
      <c r="B171" s="88">
        <v>16</v>
      </c>
      <c r="C171" s="89" t="s">
        <v>377</v>
      </c>
      <c r="D171" s="110" t="s">
        <v>308</v>
      </c>
    </row>
    <row r="172" spans="2:4">
      <c r="C172" s="88" t="s">
        <v>378</v>
      </c>
      <c r="D172" s="88">
        <v>1330000</v>
      </c>
    </row>
    <row r="173" spans="2:4">
      <c r="C173" s="88" t="s">
        <v>379</v>
      </c>
      <c r="D173" s="98">
        <f>1100000*21/25</f>
        <v>924000</v>
      </c>
    </row>
    <row r="174" spans="2:4">
      <c r="D174" s="88">
        <f>D173-D172</f>
        <v>-406000</v>
      </c>
    </row>
    <row r="175" spans="2:4">
      <c r="C175" s="88" t="s">
        <v>393</v>
      </c>
      <c r="D175" s="88">
        <f>D174*0.8</f>
        <v>-324800</v>
      </c>
    </row>
    <row r="177" spans="2:4">
      <c r="C177" s="88" t="s">
        <v>404</v>
      </c>
      <c r="D177" s="88">
        <f>D175</f>
        <v>-324800</v>
      </c>
    </row>
    <row r="178" spans="2:4">
      <c r="C178" s="88" t="s">
        <v>394</v>
      </c>
      <c r="D178" s="98">
        <f>D131</f>
        <v>-323200</v>
      </c>
    </row>
    <row r="179" spans="2:4">
      <c r="C179" s="88" t="s">
        <v>392</v>
      </c>
      <c r="D179" s="88">
        <f>D177-D178</f>
        <v>-1600</v>
      </c>
    </row>
    <row r="182" spans="2:4">
      <c r="B182" s="88">
        <v>17</v>
      </c>
      <c r="C182" s="89" t="s">
        <v>335</v>
      </c>
      <c r="D182" s="110" t="s">
        <v>308</v>
      </c>
    </row>
    <row r="183" spans="2:4">
      <c r="C183" s="99" t="s">
        <v>380</v>
      </c>
    </row>
    <row r="184" spans="2:4">
      <c r="C184" s="88" t="s">
        <v>381</v>
      </c>
      <c r="D184" s="88">
        <f>220000*7.5/11</f>
        <v>150000</v>
      </c>
    </row>
    <row r="185" spans="2:4">
      <c r="C185" s="88" t="s">
        <v>382</v>
      </c>
      <c r="D185" s="88">
        <v>165000</v>
      </c>
    </row>
    <row r="186" spans="2:4">
      <c r="C186" s="99" t="s">
        <v>383</v>
      </c>
    </row>
    <row r="187" spans="2:4">
      <c r="C187" s="88" t="s">
        <v>384</v>
      </c>
      <c r="D187" s="88">
        <f>210000*7.5/9.5</f>
        <v>165789.47368421053</v>
      </c>
    </row>
    <row r="188" spans="2:4">
      <c r="C188" s="88" t="s">
        <v>382</v>
      </c>
      <c r="D188" s="88">
        <v>165000</v>
      </c>
    </row>
    <row r="190" spans="2:4">
      <c r="C190" s="88" t="s">
        <v>385</v>
      </c>
      <c r="D190" s="88">
        <f>L41*7.5/8</f>
        <v>1171.875</v>
      </c>
    </row>
    <row r="191" spans="2:4">
      <c r="C191" s="88" t="s">
        <v>386</v>
      </c>
      <c r="D191" s="98">
        <f>D3*(D188-D184)</f>
        <v>3750</v>
      </c>
    </row>
    <row r="192" spans="2:4">
      <c r="C192" s="88" t="s">
        <v>405</v>
      </c>
      <c r="D192" s="88">
        <f>D191-D190</f>
        <v>2578.125</v>
      </c>
    </row>
    <row r="194" spans="2:9">
      <c r="B194" s="88">
        <v>18</v>
      </c>
      <c r="C194" s="89" t="s">
        <v>340</v>
      </c>
    </row>
    <row r="195" spans="2:9">
      <c r="C195" s="88" t="s">
        <v>396</v>
      </c>
      <c r="D195" s="88">
        <f>D40</f>
        <v>376539.52569169953</v>
      </c>
      <c r="F195" s="88" t="s">
        <v>399</v>
      </c>
      <c r="G195" s="88">
        <f>D197</f>
        <v>19307.905138339906</v>
      </c>
    </row>
    <row r="196" spans="2:9">
      <c r="C196" s="88" t="s">
        <v>398</v>
      </c>
      <c r="D196" s="98">
        <f>D42</f>
        <v>357231.62055335962</v>
      </c>
      <c r="G196" s="88" t="s">
        <v>400</v>
      </c>
      <c r="H196" s="88">
        <f>G195</f>
        <v>19307.905138339906</v>
      </c>
    </row>
    <row r="197" spans="2:9">
      <c r="D197" s="88">
        <f>D195-D196</f>
        <v>19307.905138339906</v>
      </c>
    </row>
    <row r="199" spans="2:9">
      <c r="B199" s="88">
        <v>19</v>
      </c>
      <c r="C199" s="89" t="s">
        <v>342</v>
      </c>
    </row>
    <row r="200" spans="2:9">
      <c r="C200" s="88" t="s">
        <v>401</v>
      </c>
      <c r="D200" s="88">
        <f>D196</f>
        <v>357231.62055335962</v>
      </c>
      <c r="F200" s="88" t="s">
        <v>399</v>
      </c>
      <c r="G200" s="88">
        <f>D204</f>
        <v>1933.0368906455114</v>
      </c>
    </row>
    <row r="201" spans="2:9">
      <c r="C201" s="88" t="s">
        <v>402</v>
      </c>
      <c r="D201" s="98">
        <v>280000</v>
      </c>
      <c r="G201" s="88" t="s">
        <v>403</v>
      </c>
      <c r="I201" s="88">
        <f>G200</f>
        <v>1933.0368906455114</v>
      </c>
    </row>
    <row r="202" spans="2:9">
      <c r="C202" s="88" t="s">
        <v>406</v>
      </c>
      <c r="D202" s="88">
        <f>D200-D201</f>
        <v>77231.620553359622</v>
      </c>
    </row>
    <row r="203" spans="2:9">
      <c r="C203" s="88" t="s">
        <v>407</v>
      </c>
      <c r="D203" s="98">
        <f>D158</f>
        <v>75298.583662714111</v>
      </c>
    </row>
    <row r="204" spans="2:9">
      <c r="C204" s="88" t="s">
        <v>387</v>
      </c>
      <c r="D204" s="88">
        <f>D202-D203</f>
        <v>1933.0368906455114</v>
      </c>
    </row>
  </sheetData>
  <sheetProtection password="D3EB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47"/>
  <sheetViews>
    <sheetView rightToLeft="1" topLeftCell="A31" workbookViewId="0">
      <selection activeCell="C48" sqref="C48"/>
    </sheetView>
  </sheetViews>
  <sheetFormatPr defaultRowHeight="14.25"/>
  <cols>
    <col min="3" max="3" width="16.5" customWidth="1"/>
    <col min="4" max="4" width="14.25" customWidth="1"/>
    <col min="5" max="5" width="20.5" customWidth="1"/>
    <col min="6" max="6" width="13.625" bestFit="1" customWidth="1"/>
    <col min="7" max="7" width="17.5" customWidth="1"/>
    <col min="9" max="9" width="12.25" customWidth="1"/>
    <col min="14" max="14" width="10.875" bestFit="1" customWidth="1"/>
  </cols>
  <sheetData>
    <row r="2" spans="1:14" ht="15">
      <c r="A2" s="9" t="s">
        <v>2</v>
      </c>
      <c r="D2" s="1" t="s">
        <v>0</v>
      </c>
      <c r="E2" s="1"/>
      <c r="F2" s="12"/>
      <c r="I2" s="9" t="s">
        <v>2</v>
      </c>
      <c r="K2" s="1" t="s">
        <v>1</v>
      </c>
      <c r="L2" s="1"/>
      <c r="M2" s="1"/>
    </row>
    <row r="4" spans="1:14" ht="15">
      <c r="A4" s="11">
        <f>D63</f>
        <v>0.25</v>
      </c>
      <c r="B4" t="s">
        <v>36</v>
      </c>
      <c r="C4" t="s">
        <v>37</v>
      </c>
      <c r="E4" s="7">
        <f>N90</f>
        <v>100000.425</v>
      </c>
      <c r="I4" s="15">
        <v>6</v>
      </c>
      <c r="J4" t="s">
        <v>38</v>
      </c>
      <c r="K4" t="s">
        <v>29</v>
      </c>
      <c r="N4" s="7">
        <f>D218*0.5*-1</f>
        <v>184999.56818181818</v>
      </c>
    </row>
    <row r="5" spans="1:14" ht="15">
      <c r="E5" s="7"/>
      <c r="I5" s="15"/>
      <c r="N5" s="7"/>
    </row>
    <row r="6" spans="1:14" ht="15">
      <c r="A6" s="3">
        <v>2</v>
      </c>
      <c r="C6" t="s">
        <v>30</v>
      </c>
      <c r="E6" s="7">
        <f>D119</f>
        <v>437.50000000000182</v>
      </c>
      <c r="I6" s="15">
        <v>2</v>
      </c>
      <c r="K6" t="s">
        <v>30</v>
      </c>
      <c r="N6" s="7">
        <f>D121</f>
        <v>-22749.999999999996</v>
      </c>
    </row>
    <row r="7" spans="1:14" ht="15">
      <c r="A7" s="3"/>
      <c r="C7" t="s">
        <v>41</v>
      </c>
      <c r="E7" s="7">
        <f>(N81+N82)/12*-1</f>
        <v>-169.64375000000001</v>
      </c>
      <c r="I7" s="15"/>
      <c r="N7" s="7"/>
    </row>
    <row r="8" spans="1:14" ht="15">
      <c r="A8" s="3">
        <v>1</v>
      </c>
      <c r="C8" t="s">
        <v>42</v>
      </c>
      <c r="E8" s="7">
        <f>I107*0.25*-1</f>
        <v>93.75</v>
      </c>
      <c r="I8" s="15"/>
      <c r="K8" t="s">
        <v>31</v>
      </c>
      <c r="N8" s="7"/>
    </row>
    <row r="9" spans="1:14" ht="15">
      <c r="A9" s="3">
        <v>3</v>
      </c>
      <c r="C9" t="s">
        <v>43</v>
      </c>
      <c r="E9" s="7">
        <f>D166</f>
        <v>-1061.25</v>
      </c>
      <c r="I9" s="15"/>
      <c r="L9" t="s">
        <v>7</v>
      </c>
      <c r="N9" s="7">
        <f>N81*11/12+E240</f>
        <v>17654.774999999998</v>
      </c>
    </row>
    <row r="10" spans="1:14" ht="15">
      <c r="A10" s="3">
        <v>4</v>
      </c>
      <c r="C10" t="s">
        <v>44</v>
      </c>
      <c r="E10" s="7">
        <v>0</v>
      </c>
      <c r="I10" s="15"/>
      <c r="L10" t="s">
        <v>9</v>
      </c>
      <c r="N10" s="7">
        <f>N9*0.25*-1</f>
        <v>-4413.6937499999995</v>
      </c>
    </row>
    <row r="11" spans="1:14" ht="15">
      <c r="A11" s="3">
        <v>6</v>
      </c>
      <c r="C11" t="s">
        <v>45</v>
      </c>
      <c r="E11" s="7">
        <f>D213*0.25*-1</f>
        <v>18343.534090909088</v>
      </c>
      <c r="I11" s="15">
        <v>3</v>
      </c>
      <c r="L11" t="s">
        <v>32</v>
      </c>
      <c r="N11" s="7">
        <f>(D168+D167)/0.75</f>
        <v>1231.25</v>
      </c>
    </row>
    <row r="12" spans="1:14" ht="15">
      <c r="A12" s="3"/>
      <c r="C12" t="s">
        <v>46</v>
      </c>
      <c r="E12" s="7">
        <f>F88*0.25*-1</f>
        <v>17500</v>
      </c>
      <c r="I12" s="15"/>
      <c r="L12" t="s">
        <v>9</v>
      </c>
      <c r="N12" s="7">
        <f>N11*0.25*-1</f>
        <v>-307.8125</v>
      </c>
    </row>
    <row r="13" spans="1:14" ht="15">
      <c r="A13" s="3"/>
      <c r="C13" t="s">
        <v>47</v>
      </c>
      <c r="E13" s="7">
        <f>50000*0.15*0.25*0.75*-1</f>
        <v>-1406.25</v>
      </c>
      <c r="I13" s="15"/>
      <c r="L13" t="s">
        <v>40</v>
      </c>
      <c r="N13" s="7">
        <f>N85+E244</f>
        <v>-7500</v>
      </c>
    </row>
    <row r="14" spans="1:14" ht="15">
      <c r="A14" s="3">
        <v>5</v>
      </c>
      <c r="C14" t="s">
        <v>48</v>
      </c>
      <c r="E14" s="7">
        <f>E187</f>
        <v>937.5</v>
      </c>
      <c r="I14" s="15"/>
      <c r="L14" t="s">
        <v>9</v>
      </c>
      <c r="N14" s="7">
        <f>N13*0.25*-1</f>
        <v>1875</v>
      </c>
    </row>
    <row r="15" spans="1:14" ht="15">
      <c r="A15" s="3">
        <v>5</v>
      </c>
      <c r="C15" t="s">
        <v>49</v>
      </c>
      <c r="E15" s="7">
        <f>(60000-100000*2.5/5)*0.25*0.75*-1</f>
        <v>-1875</v>
      </c>
      <c r="I15" s="15"/>
      <c r="L15" t="s">
        <v>33</v>
      </c>
      <c r="N15" s="7">
        <f>N87</f>
        <v>85668.7</v>
      </c>
    </row>
    <row r="16" spans="1:14" ht="15">
      <c r="A16" s="3">
        <v>5</v>
      </c>
      <c r="C16" t="s">
        <v>50</v>
      </c>
      <c r="E16" s="7">
        <f>E15*0.5/2.5*-1</f>
        <v>375</v>
      </c>
      <c r="I16" s="15"/>
      <c r="L16" t="s">
        <v>34</v>
      </c>
      <c r="N16" s="7">
        <f>SUM(N9:N15)</f>
        <v>94208.21875</v>
      </c>
    </row>
    <row r="17" spans="1:15" ht="15">
      <c r="A17" s="3"/>
      <c r="E17" s="7"/>
      <c r="I17" s="15">
        <v>5</v>
      </c>
      <c r="K17" t="s">
        <v>127</v>
      </c>
      <c r="N17" s="7">
        <f>E188</f>
        <v>-468.75</v>
      </c>
    </row>
    <row r="18" spans="1:15" ht="15">
      <c r="A18" s="3"/>
      <c r="E18" s="7"/>
      <c r="I18" s="15">
        <v>5</v>
      </c>
      <c r="K18" t="s">
        <v>128</v>
      </c>
      <c r="N18" s="7">
        <f>E196</f>
        <v>-1500</v>
      </c>
      <c r="O18" s="2" t="s">
        <v>58</v>
      </c>
    </row>
    <row r="19" spans="1:15" ht="15">
      <c r="A19" s="3"/>
      <c r="B19" t="s">
        <v>38</v>
      </c>
      <c r="C19" t="s">
        <v>51</v>
      </c>
      <c r="E19" s="7">
        <f>SUM(E4:E16)</f>
        <v>133175.56534090909</v>
      </c>
      <c r="I19" s="15"/>
      <c r="K19" t="s">
        <v>35</v>
      </c>
      <c r="N19" s="7">
        <f>N4+N6+N16+N17+N18</f>
        <v>254489.03693181818</v>
      </c>
      <c r="O19" s="10">
        <f>E22-N19</f>
        <v>0</v>
      </c>
    </row>
    <row r="20" spans="1:15" ht="15">
      <c r="A20" s="3">
        <v>7</v>
      </c>
      <c r="C20" t="s">
        <v>52</v>
      </c>
      <c r="E20" s="7">
        <f>E228</f>
        <v>90000</v>
      </c>
      <c r="I20" s="15"/>
      <c r="N20" s="7"/>
    </row>
    <row r="21" spans="1:15" ht="15">
      <c r="A21" s="3">
        <v>7</v>
      </c>
      <c r="C21" t="s">
        <v>53</v>
      </c>
      <c r="E21" s="7">
        <f>E246*-1</f>
        <v>31313.471590909088</v>
      </c>
      <c r="I21" s="15"/>
      <c r="N21" s="7"/>
    </row>
    <row r="22" spans="1:15" ht="15">
      <c r="A22" s="11">
        <f>D65</f>
        <v>0.5</v>
      </c>
      <c r="B22" t="s">
        <v>38</v>
      </c>
      <c r="C22" t="s">
        <v>54</v>
      </c>
      <c r="E22" s="7">
        <f>SUM(E19:E21)</f>
        <v>254489.03693181818</v>
      </c>
      <c r="I22" s="15">
        <v>6</v>
      </c>
      <c r="J22" t="s">
        <v>39</v>
      </c>
      <c r="K22" t="s">
        <v>29</v>
      </c>
      <c r="N22" s="7">
        <f>D223*0.4*-1</f>
        <v>170879.2</v>
      </c>
    </row>
    <row r="23" spans="1:15" ht="15">
      <c r="A23" s="3"/>
      <c r="E23" s="7"/>
      <c r="I23" s="15"/>
      <c r="N23" s="7"/>
    </row>
    <row r="24" spans="1:15" ht="15">
      <c r="A24" s="3">
        <v>2</v>
      </c>
      <c r="C24" t="s">
        <v>30</v>
      </c>
      <c r="E24" s="7">
        <f>D123</f>
        <v>2068.1818181818126</v>
      </c>
      <c r="I24" s="15">
        <v>2</v>
      </c>
      <c r="K24" t="s">
        <v>30</v>
      </c>
      <c r="N24" s="7">
        <f>D125</f>
        <v>-3999.9999999999986</v>
      </c>
    </row>
    <row r="25" spans="1:15" ht="15">
      <c r="A25" s="3"/>
      <c r="C25" t="s">
        <v>41</v>
      </c>
      <c r="E25" s="7">
        <f>(N9+N10)/11*-1</f>
        <v>-1203.734659090909</v>
      </c>
      <c r="I25" s="15"/>
      <c r="N25" s="7"/>
    </row>
    <row r="26" spans="1:15" ht="15">
      <c r="A26" s="3">
        <v>1</v>
      </c>
      <c r="C26" t="s">
        <v>42</v>
      </c>
      <c r="E26" s="7">
        <f>(I109+I110)*0.5*-1</f>
        <v>1781.25</v>
      </c>
      <c r="I26" s="15"/>
      <c r="K26" t="s">
        <v>31</v>
      </c>
      <c r="N26" s="7"/>
    </row>
    <row r="27" spans="1:15" ht="15">
      <c r="A27" s="3">
        <v>3</v>
      </c>
      <c r="C27" t="s">
        <v>43</v>
      </c>
      <c r="E27" s="7">
        <f>D169</f>
        <v>-923.4375</v>
      </c>
      <c r="I27" s="15"/>
      <c r="L27" t="s">
        <v>7</v>
      </c>
      <c r="N27" s="7">
        <f>N9*10/11*0.4/0.5</f>
        <v>12839.836363636363</v>
      </c>
    </row>
    <row r="28" spans="1:15" ht="15">
      <c r="A28" s="3">
        <v>4</v>
      </c>
      <c r="C28" t="s">
        <v>44</v>
      </c>
      <c r="E28" s="7">
        <f>(N13+N14)*-1</f>
        <v>5625</v>
      </c>
      <c r="I28" s="15"/>
      <c r="L28" t="s">
        <v>9</v>
      </c>
      <c r="N28" s="7">
        <f>N27*0.25*-1</f>
        <v>-3209.9590909090907</v>
      </c>
    </row>
    <row r="29" spans="1:15" ht="15">
      <c r="A29" s="3">
        <v>6</v>
      </c>
      <c r="C29" t="s">
        <v>45</v>
      </c>
      <c r="E29" s="7">
        <f>D219*0.5*-1</f>
        <v>52500</v>
      </c>
      <c r="I29" s="15">
        <v>3</v>
      </c>
      <c r="L29" t="s">
        <v>32</v>
      </c>
      <c r="N29" s="7">
        <v>0</v>
      </c>
    </row>
    <row r="30" spans="1:15" ht="15">
      <c r="A30" s="3"/>
      <c r="C30" t="s">
        <v>46</v>
      </c>
      <c r="E30" s="7">
        <f>F97*0.5*-1</f>
        <v>-10000</v>
      </c>
      <c r="I30" s="15"/>
      <c r="L30" t="s">
        <v>9</v>
      </c>
      <c r="N30" s="7">
        <v>0</v>
      </c>
    </row>
    <row r="31" spans="1:15" ht="15">
      <c r="A31" s="3">
        <v>5</v>
      </c>
      <c r="C31" t="s">
        <v>48</v>
      </c>
      <c r="E31" s="7">
        <f>E189</f>
        <v>468.75</v>
      </c>
      <c r="I31" s="15"/>
      <c r="L31" t="s">
        <v>40</v>
      </c>
      <c r="N31" s="7">
        <v>0</v>
      </c>
    </row>
    <row r="32" spans="1:15" ht="15">
      <c r="A32" s="3">
        <v>5</v>
      </c>
      <c r="C32" t="s">
        <v>50</v>
      </c>
      <c r="E32" s="7">
        <f>E197</f>
        <v>1125</v>
      </c>
      <c r="I32" s="15"/>
      <c r="L32" t="s">
        <v>9</v>
      </c>
      <c r="N32" s="7">
        <v>0</v>
      </c>
    </row>
    <row r="33" spans="1:15" ht="15">
      <c r="A33" s="3"/>
      <c r="E33" s="7"/>
      <c r="I33" s="15"/>
      <c r="L33" t="s">
        <v>33</v>
      </c>
      <c r="N33" s="7">
        <f>N15*0.4/0.5</f>
        <v>68534.960000000006</v>
      </c>
    </row>
    <row r="34" spans="1:15" ht="15">
      <c r="A34" s="3"/>
      <c r="B34" t="s">
        <v>39</v>
      </c>
      <c r="C34" t="s">
        <v>55</v>
      </c>
      <c r="E34" s="7">
        <f>SUM(E22:E32)</f>
        <v>305930.04659090913</v>
      </c>
      <c r="I34" s="15"/>
      <c r="L34" t="s">
        <v>34</v>
      </c>
      <c r="N34" s="7">
        <f>SUM(N27:N33)</f>
        <v>78164.83727272728</v>
      </c>
    </row>
    <row r="35" spans="1:15" ht="15">
      <c r="A35" s="3"/>
      <c r="E35" s="7"/>
      <c r="I35" s="15">
        <v>5</v>
      </c>
      <c r="K35" t="s">
        <v>128</v>
      </c>
      <c r="N35" s="7">
        <f>E198*0.4/0.5</f>
        <v>-300</v>
      </c>
    </row>
    <row r="36" spans="1:15" ht="15">
      <c r="A36" s="3"/>
      <c r="C36" t="s">
        <v>56</v>
      </c>
      <c r="E36" s="7">
        <f>E34*0.2*-1</f>
        <v>-61186.00931818183</v>
      </c>
      <c r="I36" s="15"/>
      <c r="N36" s="7"/>
      <c r="O36" s="2" t="s">
        <v>58</v>
      </c>
    </row>
    <row r="37" spans="1:15" ht="15">
      <c r="A37" s="11">
        <f>D67</f>
        <v>0.4</v>
      </c>
      <c r="B37" t="s">
        <v>39</v>
      </c>
      <c r="C37" t="s">
        <v>57</v>
      </c>
      <c r="E37" s="7">
        <f>SUM(E34:E36)</f>
        <v>244744.03727272729</v>
      </c>
      <c r="I37" s="15"/>
      <c r="K37" t="s">
        <v>35</v>
      </c>
      <c r="N37" s="7">
        <f>N22+N24+N34+N35</f>
        <v>244744.03727272729</v>
      </c>
      <c r="O37" s="10">
        <f>E37-N37</f>
        <v>0</v>
      </c>
    </row>
    <row r="38" spans="1:15" ht="15">
      <c r="A38" s="3"/>
      <c r="E38" s="7"/>
      <c r="I38" s="15"/>
      <c r="N38" s="7"/>
    </row>
    <row r="39" spans="1:15" ht="15">
      <c r="A39" s="3"/>
      <c r="E39" s="7"/>
      <c r="I39" s="15"/>
      <c r="N39" s="7"/>
    </row>
    <row r="40" spans="1:15" ht="15">
      <c r="A40" s="3"/>
      <c r="E40" s="7"/>
      <c r="I40" s="15"/>
      <c r="N40" s="7"/>
    </row>
    <row r="43" spans="1:15" ht="15">
      <c r="D43" s="1" t="s">
        <v>153</v>
      </c>
      <c r="E43" s="1"/>
      <c r="F43" s="12"/>
      <c r="G43" s="13"/>
    </row>
    <row r="44" spans="1:15">
      <c r="E44" t="s">
        <v>156</v>
      </c>
      <c r="H44" t="s">
        <v>155</v>
      </c>
    </row>
    <row r="45" spans="1:15">
      <c r="B45" t="s">
        <v>59</v>
      </c>
      <c r="D45" t="s">
        <v>152</v>
      </c>
      <c r="E45" s="10">
        <f>5000*7+1000+E20</f>
        <v>126000</v>
      </c>
      <c r="H45" t="s">
        <v>157</v>
      </c>
    </row>
    <row r="46" spans="1:15">
      <c r="B46" t="s">
        <v>60</v>
      </c>
      <c r="D46" t="s">
        <v>60</v>
      </c>
      <c r="E46" s="20">
        <f>E22</f>
        <v>254489.03693181818</v>
      </c>
      <c r="F46" s="18"/>
      <c r="G46" s="18"/>
      <c r="H46" t="s">
        <v>152</v>
      </c>
      <c r="I46" s="10">
        <f>E45</f>
        <v>126000</v>
      </c>
      <c r="J46" s="18"/>
    </row>
    <row r="47" spans="1:15">
      <c r="B47" t="s">
        <v>61</v>
      </c>
      <c r="D47" t="s">
        <v>61</v>
      </c>
      <c r="E47" s="20">
        <f>E46-E45</f>
        <v>128489.03693181818</v>
      </c>
      <c r="F47" s="18"/>
      <c r="G47" s="18"/>
      <c r="H47" t="s">
        <v>60</v>
      </c>
      <c r="I47" s="20">
        <f>E22-(E14+E13)</f>
        <v>254957.78693181818</v>
      </c>
      <c r="J47" s="18"/>
    </row>
    <row r="48" spans="1:15">
      <c r="D48" t="s">
        <v>9</v>
      </c>
      <c r="E48" s="19">
        <f>E47*0.25*0.2*-1</f>
        <v>-6424.4518465909096</v>
      </c>
      <c r="F48" s="18"/>
      <c r="G48" s="18"/>
      <c r="H48" t="s">
        <v>61</v>
      </c>
      <c r="I48" s="20">
        <f>I47-I46</f>
        <v>128957.78693181818</v>
      </c>
      <c r="J48" s="18"/>
    </row>
    <row r="49" spans="2:11">
      <c r="B49" t="s">
        <v>9</v>
      </c>
      <c r="E49" s="18"/>
      <c r="F49" s="18"/>
      <c r="G49" s="18"/>
      <c r="H49" t="s">
        <v>9</v>
      </c>
      <c r="I49" s="19">
        <f>I48*0.25*0.2*-1</f>
        <v>-6447.8893465909096</v>
      </c>
      <c r="J49" s="18"/>
    </row>
    <row r="50" spans="2:11">
      <c r="E50" s="18"/>
      <c r="F50" s="18"/>
      <c r="G50" s="18"/>
      <c r="H50" s="18"/>
      <c r="I50" s="18"/>
      <c r="J50" s="18"/>
    </row>
    <row r="51" spans="2:11">
      <c r="B51" t="s">
        <v>62</v>
      </c>
      <c r="E51" t="s">
        <v>63</v>
      </c>
      <c r="F51" t="s">
        <v>64</v>
      </c>
      <c r="J51" t="s">
        <v>63</v>
      </c>
      <c r="K51" t="s">
        <v>64</v>
      </c>
    </row>
    <row r="52" spans="2:11">
      <c r="D52" t="s">
        <v>65</v>
      </c>
      <c r="E52" s="7">
        <f>(E47-E8)*0.25*0.2</f>
        <v>6419.7643465909096</v>
      </c>
      <c r="H52" t="s">
        <v>65</v>
      </c>
      <c r="J52" s="7">
        <f>K54+J53</f>
        <v>-6443.2018465909096</v>
      </c>
    </row>
    <row r="53" spans="2:11">
      <c r="D53" t="s">
        <v>66</v>
      </c>
      <c r="E53" s="7">
        <f>E8*0.25*0.2</f>
        <v>4.6875</v>
      </c>
      <c r="H53" t="s">
        <v>66</v>
      </c>
      <c r="J53" s="7">
        <f>E53</f>
        <v>4.6875</v>
      </c>
    </row>
    <row r="54" spans="2:11">
      <c r="D54" t="s">
        <v>9</v>
      </c>
      <c r="F54" s="10">
        <f>E48</f>
        <v>-6424.4518465909096</v>
      </c>
      <c r="H54" t="s">
        <v>9</v>
      </c>
      <c r="K54" s="10">
        <f>I49</f>
        <v>-6447.8893465909096</v>
      </c>
    </row>
    <row r="59" spans="2:11" ht="15">
      <c r="D59" s="1" t="s">
        <v>2</v>
      </c>
    </row>
    <row r="61" spans="2:11" ht="15">
      <c r="B61" s="5" t="s">
        <v>67</v>
      </c>
      <c r="D61" t="s">
        <v>68</v>
      </c>
      <c r="F61" t="s">
        <v>69</v>
      </c>
    </row>
    <row r="63" spans="2:11">
      <c r="C63" t="s">
        <v>70</v>
      </c>
      <c r="D63">
        <f>5000/(40000-20000)</f>
        <v>0.25</v>
      </c>
      <c r="E63" t="s">
        <v>71</v>
      </c>
      <c r="F63">
        <f>2000/20000</f>
        <v>0.1</v>
      </c>
    </row>
    <row r="65" spans="2:14">
      <c r="C65" t="s">
        <v>38</v>
      </c>
      <c r="D65">
        <f>20000/40000</f>
        <v>0.5</v>
      </c>
      <c r="F65">
        <f>3000/20000</f>
        <v>0.15</v>
      </c>
    </row>
    <row r="67" spans="2:14">
      <c r="C67" t="s">
        <v>39</v>
      </c>
      <c r="D67">
        <f>D65*0.8</f>
        <v>0.4</v>
      </c>
      <c r="F67">
        <f>2500/20000</f>
        <v>0.125</v>
      </c>
    </row>
    <row r="72" spans="2:14" ht="15">
      <c r="B72" s="5" t="s">
        <v>3</v>
      </c>
    </row>
    <row r="74" spans="2:14">
      <c r="B74" t="s">
        <v>4</v>
      </c>
      <c r="K74" t="s">
        <v>28</v>
      </c>
    </row>
    <row r="76" spans="2:14">
      <c r="C76" t="s">
        <v>5</v>
      </c>
      <c r="F76" s="7">
        <v>354698</v>
      </c>
      <c r="K76" t="s">
        <v>29</v>
      </c>
      <c r="N76" s="7">
        <v>20000</v>
      </c>
    </row>
    <row r="77" spans="2:14">
      <c r="C77" t="s">
        <v>6</v>
      </c>
      <c r="F77" s="8">
        <f>D111</f>
        <v>17500</v>
      </c>
      <c r="N77" s="7"/>
    </row>
    <row r="78" spans="2:14">
      <c r="C78" t="s">
        <v>7</v>
      </c>
      <c r="F78" s="8">
        <v>140000</v>
      </c>
      <c r="G78" t="s">
        <v>86</v>
      </c>
      <c r="K78" t="s">
        <v>30</v>
      </c>
      <c r="N78" s="7">
        <v>-5250</v>
      </c>
    </row>
    <row r="79" spans="2:14">
      <c r="C79" t="s">
        <v>8</v>
      </c>
      <c r="F79" s="7">
        <v>22000</v>
      </c>
      <c r="N79" s="7"/>
    </row>
    <row r="80" spans="2:14">
      <c r="C80" t="s">
        <v>9</v>
      </c>
      <c r="F80" s="7">
        <v>40000</v>
      </c>
      <c r="K80" t="s">
        <v>31</v>
      </c>
      <c r="N80" s="7"/>
    </row>
    <row r="81" spans="3:14">
      <c r="C81" t="s">
        <v>10</v>
      </c>
      <c r="F81" s="7">
        <v>-97000</v>
      </c>
      <c r="L81" t="s">
        <v>7</v>
      </c>
      <c r="N81" s="7">
        <v>2714.3</v>
      </c>
    </row>
    <row r="82" spans="3:14">
      <c r="C82" t="s">
        <v>11</v>
      </c>
      <c r="F82" s="7">
        <v>-50000</v>
      </c>
      <c r="L82" t="s">
        <v>9</v>
      </c>
      <c r="N82" s="8">
        <f>N81*0.25*-1</f>
        <v>-678.57500000000005</v>
      </c>
    </row>
    <row r="83" spans="3:14">
      <c r="C83" t="s">
        <v>12</v>
      </c>
      <c r="F83" s="7">
        <v>-40000</v>
      </c>
      <c r="L83" t="s">
        <v>32</v>
      </c>
      <c r="N83" s="7">
        <v>1728</v>
      </c>
    </row>
    <row r="84" spans="3:14">
      <c r="C84" t="s">
        <v>13</v>
      </c>
      <c r="F84" s="7">
        <v>-200000</v>
      </c>
      <c r="L84" t="s">
        <v>9</v>
      </c>
      <c r="N84" s="8">
        <f>N83*0.25*-1</f>
        <v>-432</v>
      </c>
    </row>
    <row r="85" spans="3:14">
      <c r="C85" t="s">
        <v>14</v>
      </c>
      <c r="F85" s="8">
        <f>(SUM(F76:F84)+SUM(F86:F97))*-1</f>
        <v>-14124.136363636353</v>
      </c>
      <c r="G85" t="s">
        <v>27</v>
      </c>
      <c r="L85" t="s">
        <v>40</v>
      </c>
      <c r="N85" s="8">
        <f>N86/0.25*-1</f>
        <v>-5000</v>
      </c>
    </row>
    <row r="86" spans="3:14">
      <c r="C86" t="s">
        <v>15</v>
      </c>
      <c r="F86" s="8">
        <f>(200000-190000*11/15)*0.75*-1</f>
        <v>-45499.999999999993</v>
      </c>
      <c r="L86" t="s">
        <v>9</v>
      </c>
      <c r="N86" s="7">
        <v>1250</v>
      </c>
    </row>
    <row r="87" spans="3:14">
      <c r="C87" t="s">
        <v>16</v>
      </c>
      <c r="F87" s="8">
        <f>I108</f>
        <v>-375</v>
      </c>
      <c r="L87" t="s">
        <v>33</v>
      </c>
      <c r="N87" s="7">
        <v>85668.7</v>
      </c>
    </row>
    <row r="88" spans="3:14">
      <c r="C88" t="s">
        <v>17</v>
      </c>
      <c r="F88" s="8">
        <v>-70000</v>
      </c>
      <c r="G88" t="s">
        <v>121</v>
      </c>
      <c r="L88" t="s">
        <v>34</v>
      </c>
      <c r="N88" s="8">
        <f>SUM(N81:N87)</f>
        <v>85250.425000000003</v>
      </c>
    </row>
    <row r="89" spans="3:14">
      <c r="C89" t="s">
        <v>18</v>
      </c>
      <c r="F89" s="7">
        <v>-400000</v>
      </c>
      <c r="N89" s="7"/>
    </row>
    <row r="90" spans="3:14">
      <c r="C90" t="s">
        <v>19</v>
      </c>
      <c r="F90" s="7">
        <v>300000</v>
      </c>
      <c r="K90" t="s">
        <v>35</v>
      </c>
      <c r="N90" s="8">
        <f>N76+N78+N88</f>
        <v>100000.425</v>
      </c>
    </row>
    <row r="91" spans="3:14">
      <c r="C91" t="s">
        <v>20</v>
      </c>
      <c r="F91" s="7">
        <v>30000</v>
      </c>
    </row>
    <row r="92" spans="3:14">
      <c r="C92" t="s">
        <v>21</v>
      </c>
      <c r="F92" s="7">
        <v>-50000</v>
      </c>
    </row>
    <row r="93" spans="3:14">
      <c r="C93" t="s">
        <v>22</v>
      </c>
      <c r="F93" s="7">
        <v>10000</v>
      </c>
    </row>
    <row r="94" spans="3:14">
      <c r="C94" t="s">
        <v>23</v>
      </c>
      <c r="F94" s="7">
        <v>5000</v>
      </c>
    </row>
    <row r="95" spans="3:14">
      <c r="C95" t="s">
        <v>24</v>
      </c>
      <c r="F95" s="8">
        <f>(140000-200000*10/11)*0.75*-1</f>
        <v>31363.636363636368</v>
      </c>
    </row>
    <row r="96" spans="3:14">
      <c r="C96" t="s">
        <v>25</v>
      </c>
      <c r="F96" s="8">
        <f>I109+I110</f>
        <v>-3562.5</v>
      </c>
    </row>
    <row r="97" spans="1:9">
      <c r="C97" s="18" t="s">
        <v>26</v>
      </c>
      <c r="F97" s="8">
        <v>20000</v>
      </c>
      <c r="G97" t="s">
        <v>121</v>
      </c>
    </row>
    <row r="100" spans="1:9" ht="15">
      <c r="A100" s="4">
        <v>1</v>
      </c>
      <c r="B100" s="5" t="s">
        <v>72</v>
      </c>
    </row>
    <row r="102" spans="1:9" ht="15">
      <c r="D102" s="5" t="s">
        <v>73</v>
      </c>
      <c r="F102" s="5" t="s">
        <v>9</v>
      </c>
      <c r="I102" s="5" t="s">
        <v>74</v>
      </c>
    </row>
    <row r="103" spans="1:9">
      <c r="B103" t="s">
        <v>70</v>
      </c>
      <c r="C103" t="s">
        <v>37</v>
      </c>
      <c r="D103" s="7">
        <f>2000*4+1000</f>
        <v>9000</v>
      </c>
      <c r="F103" s="7"/>
      <c r="I103" s="7"/>
    </row>
    <row r="104" spans="1:9">
      <c r="C104" t="s">
        <v>76</v>
      </c>
      <c r="D104" s="7">
        <f>D105-D103</f>
        <v>0</v>
      </c>
      <c r="F104" s="7"/>
      <c r="I104" s="7"/>
    </row>
    <row r="105" spans="1:9">
      <c r="B105" t="s">
        <v>36</v>
      </c>
      <c r="C105" t="s">
        <v>37</v>
      </c>
      <c r="D105" s="7">
        <f>2000*4.5</f>
        <v>9000</v>
      </c>
      <c r="F105" s="7">
        <f>(D105-D103)*0.25*-1</f>
        <v>0</v>
      </c>
      <c r="I105" s="7">
        <v>0</v>
      </c>
    </row>
    <row r="106" spans="1:9">
      <c r="C106" t="s">
        <v>75</v>
      </c>
      <c r="D106" s="7">
        <f>1000*5+500</f>
        <v>5500</v>
      </c>
      <c r="F106" s="7"/>
      <c r="I106" s="7"/>
    </row>
    <row r="107" spans="1:9">
      <c r="C107" t="s">
        <v>76</v>
      </c>
      <c r="D107" s="7">
        <f>D108-D106-D105</f>
        <v>500</v>
      </c>
      <c r="F107" s="7">
        <f>F108-F105</f>
        <v>-125</v>
      </c>
      <c r="I107" s="7">
        <f>(D107+F107)*-1</f>
        <v>-375</v>
      </c>
    </row>
    <row r="108" spans="1:9">
      <c r="B108" t="s">
        <v>38</v>
      </c>
      <c r="C108" t="s">
        <v>37</v>
      </c>
      <c r="D108" s="7">
        <f>3000*5</f>
        <v>15000</v>
      </c>
      <c r="F108" s="7">
        <f>(D108-(D103+D106))*0.25*-1</f>
        <v>-125</v>
      </c>
      <c r="I108" s="7">
        <f>I105+I107</f>
        <v>-375</v>
      </c>
    </row>
    <row r="109" spans="1:9">
      <c r="C109" t="s">
        <v>56</v>
      </c>
      <c r="D109" s="7">
        <f>500*7*-1</f>
        <v>-3500</v>
      </c>
      <c r="F109" s="7">
        <f>(D109+D103*500/2000)*0.25*-1</f>
        <v>312.5</v>
      </c>
      <c r="I109" s="7">
        <f>F109/0.25*0.75</f>
        <v>937.5</v>
      </c>
    </row>
    <row r="110" spans="1:9">
      <c r="C110" t="s">
        <v>76</v>
      </c>
      <c r="D110" s="7">
        <f>D111-D109-D108</f>
        <v>6000</v>
      </c>
      <c r="F110" s="7">
        <f>F111-F109-F108</f>
        <v>-1500</v>
      </c>
      <c r="I110" s="7">
        <f>(D110+F110)*-1</f>
        <v>-4500</v>
      </c>
    </row>
    <row r="111" spans="1:9">
      <c r="B111" t="s">
        <v>39</v>
      </c>
      <c r="C111" t="s">
        <v>37</v>
      </c>
      <c r="D111" s="7">
        <f>2500*7</f>
        <v>17500</v>
      </c>
      <c r="F111" s="7">
        <f>(D111-(D103*1500/2000+D106))*0.25*-1</f>
        <v>-1312.5</v>
      </c>
      <c r="I111" s="7">
        <f>I108+I109+I110</f>
        <v>-3937.5</v>
      </c>
    </row>
    <row r="114" spans="1:13" ht="15">
      <c r="A114" s="14">
        <v>2</v>
      </c>
      <c r="B114" s="5" t="s">
        <v>77</v>
      </c>
    </row>
    <row r="115" spans="1:13">
      <c r="C115" t="s">
        <v>88</v>
      </c>
    </row>
    <row r="117" spans="1:13">
      <c r="B117" t="s">
        <v>36</v>
      </c>
      <c r="C117" t="s">
        <v>37</v>
      </c>
      <c r="D117" s="7">
        <f>N78</f>
        <v>-5250</v>
      </c>
      <c r="J117" t="s">
        <v>81</v>
      </c>
    </row>
    <row r="118" spans="1:13">
      <c r="C118" t="s">
        <v>76</v>
      </c>
      <c r="D118" s="7">
        <f>(200000-180000*11/12)*0.25*0.75*-1</f>
        <v>-6562.5</v>
      </c>
      <c r="F118" t="s">
        <v>83</v>
      </c>
      <c r="M118" t="s">
        <v>79</v>
      </c>
    </row>
    <row r="119" spans="1:13">
      <c r="C119" t="s">
        <v>78</v>
      </c>
      <c r="D119" s="7">
        <f>D120-D117-D118</f>
        <v>437.50000000000182</v>
      </c>
      <c r="F119" t="s">
        <v>82</v>
      </c>
      <c r="M119" s="6" t="s">
        <v>80</v>
      </c>
    </row>
    <row r="120" spans="1:13">
      <c r="B120" t="s">
        <v>38</v>
      </c>
      <c r="C120" t="s">
        <v>51</v>
      </c>
      <c r="D120" s="7">
        <f>(190000*11/15-200000)*0.75*0.25</f>
        <v>-11374.999999999998</v>
      </c>
    </row>
    <row r="121" spans="1:13">
      <c r="B121" t="s">
        <v>38</v>
      </c>
      <c r="C121" t="s">
        <v>54</v>
      </c>
      <c r="D121" s="7">
        <f>D120/0.25*0.5</f>
        <v>-22749.999999999996</v>
      </c>
    </row>
    <row r="122" spans="1:13">
      <c r="C122" t="s">
        <v>76</v>
      </c>
      <c r="D122" s="7">
        <f>(140000-200000*10/11)*0.5*0.75*-1</f>
        <v>15681.818181818184</v>
      </c>
      <c r="F122" t="s">
        <v>84</v>
      </c>
    </row>
    <row r="123" spans="1:13">
      <c r="C123" s="18" t="s">
        <v>78</v>
      </c>
      <c r="D123" s="19">
        <f>D124-D122-D121</f>
        <v>2068.1818181818126</v>
      </c>
      <c r="E123" s="18"/>
      <c r="F123" s="18" t="s">
        <v>85</v>
      </c>
    </row>
    <row r="124" spans="1:13">
      <c r="B124" t="s">
        <v>39</v>
      </c>
      <c r="C124" s="18" t="s">
        <v>55</v>
      </c>
      <c r="D124" s="19">
        <f>(190000*10/15-140000)*0.5*0.75</f>
        <v>-4999.9999999999982</v>
      </c>
      <c r="E124" s="18"/>
      <c r="F124" s="18"/>
    </row>
    <row r="125" spans="1:13">
      <c r="B125" t="s">
        <v>39</v>
      </c>
      <c r="C125" s="18" t="s">
        <v>57</v>
      </c>
      <c r="D125" s="19">
        <f>D124/0.5*0.4</f>
        <v>-3999.9999999999986</v>
      </c>
      <c r="E125" s="18"/>
      <c r="F125" s="18"/>
    </row>
    <row r="127" spans="1:13" ht="15">
      <c r="A127" s="3"/>
    </row>
    <row r="128" spans="1:13" ht="15">
      <c r="A128" s="4">
        <v>3</v>
      </c>
      <c r="B128" s="5" t="s">
        <v>32</v>
      </c>
    </row>
    <row r="129" spans="1:5" ht="15">
      <c r="A129" s="3"/>
    </row>
    <row r="130" spans="1:5" ht="15">
      <c r="A130" s="3"/>
      <c r="C130" t="s">
        <v>87</v>
      </c>
      <c r="D130" t="s">
        <v>100</v>
      </c>
    </row>
    <row r="131" spans="1:5" ht="15">
      <c r="A131" s="3"/>
    </row>
    <row r="132" spans="1:5" ht="15">
      <c r="A132" s="3"/>
      <c r="B132" t="s">
        <v>89</v>
      </c>
      <c r="C132" s="7">
        <v>0</v>
      </c>
    </row>
    <row r="133" spans="1:5" ht="15">
      <c r="A133" s="3"/>
      <c r="B133" t="s">
        <v>90</v>
      </c>
      <c r="C133" s="7">
        <f>100000+600000*0.08</f>
        <v>148000</v>
      </c>
      <c r="E133" t="s">
        <v>97</v>
      </c>
    </row>
    <row r="134" spans="1:5" ht="15">
      <c r="A134" s="3"/>
      <c r="B134" t="s">
        <v>91</v>
      </c>
      <c r="C134" s="7">
        <f>500000*0.08</f>
        <v>40000</v>
      </c>
      <c r="E134" t="s">
        <v>98</v>
      </c>
    </row>
    <row r="135" spans="1:5" ht="15">
      <c r="A135" s="3"/>
      <c r="B135" t="s">
        <v>92</v>
      </c>
      <c r="C135" s="7">
        <f>500000*0.08</f>
        <v>40000</v>
      </c>
      <c r="E135" t="s">
        <v>98</v>
      </c>
    </row>
    <row r="136" spans="1:5" ht="15">
      <c r="A136" s="3"/>
      <c r="B136" t="s">
        <v>93</v>
      </c>
      <c r="C136" s="7">
        <f>150000+500000*0.08</f>
        <v>190000</v>
      </c>
      <c r="E136" t="s">
        <v>99</v>
      </c>
    </row>
    <row r="137" spans="1:5" ht="15">
      <c r="A137" s="3"/>
      <c r="B137" t="s">
        <v>94</v>
      </c>
      <c r="C137" s="7">
        <f>50000+350000*0.08</f>
        <v>78000</v>
      </c>
      <c r="E137" t="s">
        <v>101</v>
      </c>
    </row>
    <row r="138" spans="1:5" ht="15">
      <c r="A138" s="3"/>
      <c r="B138" t="s">
        <v>36</v>
      </c>
      <c r="C138" s="7">
        <f>300000*0.08</f>
        <v>24000</v>
      </c>
      <c r="E138" t="s">
        <v>102</v>
      </c>
    </row>
    <row r="139" spans="1:5" ht="15">
      <c r="A139" s="3"/>
      <c r="B139" t="s">
        <v>95</v>
      </c>
      <c r="C139" s="7">
        <f>300000*0.08</f>
        <v>24000</v>
      </c>
      <c r="E139" t="s">
        <v>102</v>
      </c>
    </row>
    <row r="140" spans="1:5" ht="15">
      <c r="A140" s="3"/>
      <c r="B140" t="s">
        <v>38</v>
      </c>
      <c r="C140" s="7">
        <f>200000+300000*0.08</f>
        <v>224000</v>
      </c>
      <c r="E140" t="s">
        <v>103</v>
      </c>
    </row>
    <row r="141" spans="1:5" ht="15">
      <c r="A141" s="3"/>
      <c r="B141" t="s">
        <v>96</v>
      </c>
      <c r="C141" s="7">
        <f>70000+100000*0.08</f>
        <v>78000</v>
      </c>
      <c r="E141" t="s">
        <v>104</v>
      </c>
    </row>
    <row r="142" spans="1:5" ht="15">
      <c r="A142" s="3"/>
      <c r="B142" t="s">
        <v>39</v>
      </c>
      <c r="C142" s="7">
        <f>30000+30000*0.08</f>
        <v>32400</v>
      </c>
      <c r="E142" t="s">
        <v>105</v>
      </c>
    </row>
    <row r="143" spans="1:5" ht="15">
      <c r="A143" s="3"/>
    </row>
    <row r="144" spans="1:5" ht="15">
      <c r="A144" s="3"/>
    </row>
    <row r="145" spans="1:12" ht="15">
      <c r="A145" s="3"/>
      <c r="C145" t="s">
        <v>89</v>
      </c>
      <c r="E145" t="s">
        <v>70</v>
      </c>
      <c r="G145" t="s">
        <v>38</v>
      </c>
    </row>
    <row r="146" spans="1:12" ht="15">
      <c r="A146" s="3"/>
      <c r="B146" t="s">
        <v>106</v>
      </c>
      <c r="C146" s="17">
        <f>D160</f>
        <v>0.05</v>
      </c>
      <c r="E146" s="16">
        <v>0.06</v>
      </c>
      <c r="G146" s="16">
        <v>0.08</v>
      </c>
    </row>
    <row r="147" spans="1:12" ht="15">
      <c r="A147" s="3"/>
    </row>
    <row r="148" spans="1:12" ht="15">
      <c r="A148" s="3"/>
      <c r="B148" t="s">
        <v>36</v>
      </c>
      <c r="C148" s="7">
        <f>D157</f>
        <v>320066</v>
      </c>
      <c r="E148" s="7">
        <v>313155</v>
      </c>
      <c r="G148" t="s">
        <v>115</v>
      </c>
      <c r="L148" t="s">
        <v>113</v>
      </c>
    </row>
    <row r="149" spans="1:12" ht="15">
      <c r="A149" s="3"/>
      <c r="C149" s="7"/>
      <c r="E149" s="7"/>
    </row>
    <row r="150" spans="1:12" ht="15">
      <c r="A150" s="3"/>
      <c r="B150" t="s">
        <v>38</v>
      </c>
      <c r="C150" s="7">
        <v>103673</v>
      </c>
      <c r="E150" s="7">
        <v>102421</v>
      </c>
      <c r="G150" s="7">
        <v>100000</v>
      </c>
      <c r="L150" t="s">
        <v>114</v>
      </c>
    </row>
    <row r="151" spans="1:12" ht="15">
      <c r="A151" s="3"/>
      <c r="C151" s="7"/>
      <c r="E151" s="7"/>
      <c r="G151" s="7"/>
    </row>
    <row r="152" spans="1:12" ht="15">
      <c r="A152" s="3"/>
      <c r="B152" t="s">
        <v>39</v>
      </c>
      <c r="C152" s="7">
        <v>0</v>
      </c>
      <c r="E152" s="7">
        <v>0</v>
      </c>
      <c r="G152" s="7">
        <v>0</v>
      </c>
    </row>
    <row r="153" spans="1:12" ht="15">
      <c r="A153" s="3"/>
    </row>
    <row r="154" spans="1:12" ht="15">
      <c r="A154" s="3"/>
      <c r="C154" t="s">
        <v>107</v>
      </c>
      <c r="E154" t="s">
        <v>109</v>
      </c>
    </row>
    <row r="155" spans="1:12" ht="15">
      <c r="A155" s="3"/>
    </row>
    <row r="156" spans="1:12" ht="15">
      <c r="A156" s="3"/>
      <c r="D156" s="10">
        <f>N83*-1</f>
        <v>-1728</v>
      </c>
      <c r="E156" t="s">
        <v>108</v>
      </c>
    </row>
    <row r="157" spans="1:12" ht="15">
      <c r="A157" s="3"/>
      <c r="D157" s="7">
        <v>320066</v>
      </c>
      <c r="E157" t="s">
        <v>110</v>
      </c>
    </row>
    <row r="158" spans="1:12" ht="15">
      <c r="A158" s="3"/>
    </row>
    <row r="159" spans="1:12" ht="15">
      <c r="A159" s="3"/>
      <c r="E159" t="s">
        <v>111</v>
      </c>
    </row>
    <row r="160" spans="1:12" ht="15">
      <c r="A160" s="3"/>
      <c r="D160" s="17">
        <v>0.05</v>
      </c>
      <c r="E160" t="s">
        <v>112</v>
      </c>
    </row>
    <row r="161" spans="1:5" ht="15">
      <c r="A161" s="3"/>
    </row>
    <row r="162" spans="1:5" ht="15">
      <c r="A162" s="3"/>
    </row>
    <row r="163" spans="1:5" ht="15">
      <c r="A163" s="3"/>
      <c r="B163" s="5" t="s">
        <v>116</v>
      </c>
    </row>
    <row r="164" spans="1:5" ht="15">
      <c r="A164" s="3"/>
    </row>
    <row r="165" spans="1:5" ht="15">
      <c r="A165" s="3"/>
      <c r="B165" t="s">
        <v>36</v>
      </c>
      <c r="C165" t="s">
        <v>37</v>
      </c>
      <c r="D165" s="7">
        <f>N83+N84</f>
        <v>1296</v>
      </c>
    </row>
    <row r="166" spans="1:5" ht="15">
      <c r="A166" s="3"/>
      <c r="C166" t="s">
        <v>117</v>
      </c>
      <c r="D166" s="7">
        <f>D167-D165</f>
        <v>-1061.25</v>
      </c>
    </row>
    <row r="167" spans="1:5" ht="15">
      <c r="A167" s="3"/>
      <c r="B167" t="s">
        <v>38</v>
      </c>
      <c r="C167" t="s">
        <v>51</v>
      </c>
      <c r="D167" s="7">
        <f>(E150-C150)*0.25*0.75*-1</f>
        <v>234.75</v>
      </c>
    </row>
    <row r="168" spans="1:5" ht="15">
      <c r="A168" s="3"/>
      <c r="C168" t="s">
        <v>52</v>
      </c>
      <c r="D168" s="7">
        <f>(G150-C150)*0.25*0.75*-1</f>
        <v>688.6875</v>
      </c>
    </row>
    <row r="169" spans="1:5" ht="15">
      <c r="A169" s="3"/>
      <c r="C169" t="s">
        <v>117</v>
      </c>
      <c r="D169" s="7">
        <f>D170-D168-D167</f>
        <v>-923.4375</v>
      </c>
    </row>
    <row r="170" spans="1:5" ht="15">
      <c r="A170" s="3"/>
      <c r="B170" t="s">
        <v>39</v>
      </c>
      <c r="C170" t="s">
        <v>37</v>
      </c>
      <c r="D170" s="7">
        <v>0</v>
      </c>
    </row>
    <row r="171" spans="1:5" ht="15">
      <c r="A171" s="3"/>
    </row>
    <row r="172" spans="1:5" ht="15">
      <c r="A172" s="3"/>
    </row>
    <row r="173" spans="1:5" ht="15">
      <c r="A173" s="4">
        <v>4</v>
      </c>
      <c r="B173" s="5" t="s">
        <v>40</v>
      </c>
    </row>
    <row r="174" spans="1:5" ht="15">
      <c r="A174" s="3"/>
    </row>
    <row r="175" spans="1:5" ht="15">
      <c r="A175" s="3"/>
      <c r="B175" t="s">
        <v>118</v>
      </c>
    </row>
    <row r="176" spans="1:5" ht="15">
      <c r="A176" s="3"/>
      <c r="D176" s="10">
        <f>N85*-1</f>
        <v>5000</v>
      </c>
      <c r="E176" t="s">
        <v>119</v>
      </c>
    </row>
    <row r="177" spans="1:5" ht="15">
      <c r="A177" s="3"/>
      <c r="D177" s="7">
        <v>40000</v>
      </c>
      <c r="E177" t="s">
        <v>110</v>
      </c>
    </row>
    <row r="178" spans="1:5" ht="15">
      <c r="A178" s="3"/>
    </row>
    <row r="179" spans="1:5" ht="15">
      <c r="A179" s="3"/>
      <c r="B179" t="s">
        <v>120</v>
      </c>
    </row>
    <row r="180" spans="1:5" ht="15">
      <c r="A180" s="3"/>
    </row>
    <row r="181" spans="1:5" ht="15">
      <c r="A181" s="3"/>
    </row>
    <row r="182" spans="1:5" ht="15">
      <c r="A182" s="4">
        <v>5</v>
      </c>
      <c r="B182" s="5" t="s">
        <v>122</v>
      </c>
    </row>
    <row r="183" spans="1:5" ht="15">
      <c r="A183" s="3"/>
    </row>
    <row r="184" spans="1:5" ht="15">
      <c r="A184" s="3"/>
      <c r="B184" t="s">
        <v>123</v>
      </c>
    </row>
    <row r="185" spans="1:5" ht="15">
      <c r="A185" s="3"/>
      <c r="C185" t="s">
        <v>124</v>
      </c>
      <c r="D185" t="s">
        <v>37</v>
      </c>
      <c r="E185" s="7">
        <v>0</v>
      </c>
    </row>
    <row r="186" spans="1:5" ht="15">
      <c r="A186" s="3"/>
      <c r="D186" t="s">
        <v>125</v>
      </c>
      <c r="E186" s="7">
        <f>E13</f>
        <v>-1406.25</v>
      </c>
    </row>
    <row r="187" spans="1:5" ht="15">
      <c r="A187" s="3"/>
      <c r="D187" t="s">
        <v>126</v>
      </c>
      <c r="E187" s="7">
        <f>E188-E186-E185</f>
        <v>937.5</v>
      </c>
    </row>
    <row r="188" spans="1:5" ht="15">
      <c r="A188" s="3"/>
      <c r="C188" t="s">
        <v>38</v>
      </c>
      <c r="D188" t="s">
        <v>37</v>
      </c>
      <c r="E188" s="7">
        <f>(45000-50000*0.85)*0.25*0.75*-1</f>
        <v>-468.75</v>
      </c>
    </row>
    <row r="189" spans="1:5" ht="15">
      <c r="A189" s="3"/>
      <c r="D189" t="s">
        <v>126</v>
      </c>
      <c r="E189" s="7">
        <f>E190-E188</f>
        <v>468.75</v>
      </c>
    </row>
    <row r="190" spans="1:5" ht="15">
      <c r="A190" s="3"/>
      <c r="C190" t="s">
        <v>39</v>
      </c>
      <c r="D190" t="s">
        <v>37</v>
      </c>
      <c r="E190" s="7">
        <v>0</v>
      </c>
    </row>
    <row r="191" spans="1:5" ht="15">
      <c r="A191" s="3"/>
    </row>
    <row r="192" spans="1:5" ht="15">
      <c r="A192" s="3"/>
      <c r="B192" t="s">
        <v>129</v>
      </c>
    </row>
    <row r="193" spans="1:6" ht="15">
      <c r="A193" s="3"/>
      <c r="C193" t="s">
        <v>124</v>
      </c>
      <c r="D193" t="s">
        <v>37</v>
      </c>
      <c r="E193" s="7">
        <v>0</v>
      </c>
    </row>
    <row r="194" spans="1:6" ht="15">
      <c r="A194" s="3"/>
      <c r="D194" t="s">
        <v>125</v>
      </c>
      <c r="E194" s="7">
        <f>E15</f>
        <v>-1875</v>
      </c>
    </row>
    <row r="195" spans="1:6" ht="15">
      <c r="A195" s="3"/>
      <c r="D195" t="s">
        <v>126</v>
      </c>
      <c r="E195" s="7">
        <f>E16</f>
        <v>375</v>
      </c>
    </row>
    <row r="196" spans="1:6" ht="15">
      <c r="A196" s="3"/>
      <c r="C196" t="s">
        <v>38</v>
      </c>
      <c r="D196" t="s">
        <v>37</v>
      </c>
      <c r="E196" s="7">
        <f>E194+E193+E195</f>
        <v>-1500</v>
      </c>
    </row>
    <row r="197" spans="1:6" ht="15">
      <c r="A197" s="3"/>
      <c r="D197" t="s">
        <v>126</v>
      </c>
      <c r="E197" s="7">
        <f>E198-E196</f>
        <v>1125</v>
      </c>
    </row>
    <row r="198" spans="1:6" ht="15">
      <c r="A198" s="3"/>
      <c r="C198" t="s">
        <v>39</v>
      </c>
      <c r="D198" t="s">
        <v>37</v>
      </c>
      <c r="E198" s="7">
        <f>(E201-F206)*0.25*0.75*-1</f>
        <v>-375</v>
      </c>
    </row>
    <row r="199" spans="1:6" ht="15">
      <c r="A199" s="3"/>
    </row>
    <row r="200" spans="1:6" ht="15">
      <c r="A200" s="3"/>
    </row>
    <row r="201" spans="1:6" ht="15">
      <c r="A201" s="3"/>
      <c r="B201" t="s">
        <v>130</v>
      </c>
      <c r="E201" s="8">
        <f>F79</f>
        <v>22000</v>
      </c>
    </row>
    <row r="202" spans="1:6" ht="15">
      <c r="A202" s="3"/>
      <c r="B202" t="s">
        <v>131</v>
      </c>
      <c r="E202" s="7">
        <f>60000*1/2.5</f>
        <v>24000</v>
      </c>
    </row>
    <row r="203" spans="1:6" ht="15">
      <c r="A203" s="3"/>
      <c r="B203" t="s">
        <v>132</v>
      </c>
      <c r="E203" s="7">
        <f>E201</f>
        <v>22000</v>
      </c>
    </row>
    <row r="204" spans="1:6" ht="15">
      <c r="A204" s="3"/>
    </row>
    <row r="205" spans="1:6" ht="15">
      <c r="A205" s="3"/>
    </row>
    <row r="206" spans="1:6" ht="15">
      <c r="A206" s="3"/>
      <c r="B206" t="s">
        <v>133</v>
      </c>
      <c r="E206" t="s">
        <v>134</v>
      </c>
      <c r="F206" s="8">
        <f>100000*1/5</f>
        <v>20000</v>
      </c>
    </row>
    <row r="207" spans="1:6" ht="15">
      <c r="A207" s="3"/>
      <c r="E207" t="s">
        <v>135</v>
      </c>
      <c r="F207" s="7">
        <f>E203</f>
        <v>22000</v>
      </c>
    </row>
    <row r="208" spans="1:6" ht="15">
      <c r="A208" s="3"/>
    </row>
    <row r="209" spans="1:8" ht="15">
      <c r="A209" s="3"/>
    </row>
    <row r="210" spans="1:8" ht="15">
      <c r="A210" s="4">
        <v>6</v>
      </c>
      <c r="B210" s="5" t="s">
        <v>136</v>
      </c>
    </row>
    <row r="211" spans="1:8">
      <c r="D211" t="s">
        <v>137</v>
      </c>
    </row>
    <row r="212" spans="1:8">
      <c r="B212" t="s">
        <v>36</v>
      </c>
      <c r="C212" t="s">
        <v>37</v>
      </c>
      <c r="D212" s="7">
        <f>N76/0.25*-1</f>
        <v>-80000</v>
      </c>
    </row>
    <row r="213" spans="1:8">
      <c r="C213" t="s">
        <v>138</v>
      </c>
      <c r="D213" s="8">
        <f>D218-D212-D214-D215-D216-D217</f>
        <v>-73374.136363636353</v>
      </c>
      <c r="E213" t="s">
        <v>27</v>
      </c>
    </row>
    <row r="214" spans="1:8">
      <c r="C214" t="s">
        <v>74</v>
      </c>
      <c r="D214" s="7">
        <f>I107</f>
        <v>-375</v>
      </c>
    </row>
    <row r="215" spans="1:8">
      <c r="C215" t="s">
        <v>139</v>
      </c>
      <c r="D215" s="7">
        <f>D118/0.25</f>
        <v>-26250</v>
      </c>
    </row>
    <row r="216" spans="1:8">
      <c r="C216" t="s">
        <v>46</v>
      </c>
      <c r="D216" s="7">
        <f>F88</f>
        <v>-70000</v>
      </c>
    </row>
    <row r="217" spans="1:8">
      <c r="C217" t="s">
        <v>52</v>
      </c>
      <c r="D217" s="7">
        <v>-120000</v>
      </c>
      <c r="E217" t="s">
        <v>140</v>
      </c>
    </row>
    <row r="218" spans="1:8">
      <c r="B218" t="s">
        <v>38</v>
      </c>
      <c r="C218" t="s">
        <v>37</v>
      </c>
      <c r="D218" s="7">
        <f>SUM(F83:F88)</f>
        <v>-369999.13636363635</v>
      </c>
    </row>
    <row r="219" spans="1:8">
      <c r="C219" t="s">
        <v>138</v>
      </c>
      <c r="D219" s="8">
        <f>D223-D222-D221-D220-D218</f>
        <v>-105000</v>
      </c>
      <c r="E219" t="s">
        <v>27</v>
      </c>
      <c r="F219" s="18" t="s">
        <v>154</v>
      </c>
      <c r="G219" s="18"/>
      <c r="H219" s="18"/>
    </row>
    <row r="220" spans="1:8">
      <c r="C220" t="s">
        <v>46</v>
      </c>
      <c r="D220" s="7">
        <f>F97</f>
        <v>20000</v>
      </c>
    </row>
    <row r="221" spans="1:8">
      <c r="C221" t="s">
        <v>74</v>
      </c>
      <c r="D221" s="7">
        <f>F96</f>
        <v>-3562.5</v>
      </c>
    </row>
    <row r="222" spans="1:8">
      <c r="C222" t="s">
        <v>139</v>
      </c>
      <c r="D222" s="7">
        <f>F95</f>
        <v>31363.636363636368</v>
      </c>
    </row>
    <row r="223" spans="1:8">
      <c r="B223" t="s">
        <v>39</v>
      </c>
      <c r="C223" t="s">
        <v>37</v>
      </c>
      <c r="D223" s="7">
        <f>SUM(F76:F82)*-1</f>
        <v>-427198</v>
      </c>
    </row>
    <row r="226" spans="1:5" ht="15">
      <c r="A226" s="14">
        <v>7</v>
      </c>
      <c r="B226" s="5" t="s">
        <v>38</v>
      </c>
      <c r="C226" s="5" t="s">
        <v>141</v>
      </c>
    </row>
    <row r="228" spans="1:5">
      <c r="C228" t="s">
        <v>142</v>
      </c>
      <c r="E228" s="7">
        <f>120000*15000/20000</f>
        <v>90000</v>
      </c>
    </row>
    <row r="229" spans="1:5">
      <c r="C229" t="s">
        <v>143</v>
      </c>
      <c r="D229" t="s">
        <v>144</v>
      </c>
      <c r="E229" s="7">
        <f>E237*0.25</f>
        <v>51124.784090909088</v>
      </c>
    </row>
    <row r="230" spans="1:5">
      <c r="D230" t="s">
        <v>145</v>
      </c>
      <c r="E230" s="7">
        <f>(E237+120000)*0.5</f>
        <v>162249.56818181818</v>
      </c>
    </row>
    <row r="231" spans="1:5">
      <c r="D231" t="s">
        <v>34</v>
      </c>
      <c r="E231" s="7">
        <f>E229-E230</f>
        <v>-111124.78409090909</v>
      </c>
    </row>
    <row r="232" spans="1:5" ht="15">
      <c r="C232" s="5" t="s">
        <v>146</v>
      </c>
      <c r="E232" s="7">
        <f>E228+E231</f>
        <v>-21124.784090909088</v>
      </c>
    </row>
    <row r="233" spans="1:5">
      <c r="E233" s="7"/>
    </row>
    <row r="234" spans="1:5">
      <c r="E234" s="7"/>
    </row>
    <row r="235" spans="1:5" ht="15">
      <c r="C235" s="5" t="s">
        <v>147</v>
      </c>
      <c r="D235" t="s">
        <v>148</v>
      </c>
      <c r="E235" s="7">
        <f>(D218-D217)*-1</f>
        <v>249999.13636363635</v>
      </c>
    </row>
    <row r="236" spans="1:5">
      <c r="D236" t="s">
        <v>149</v>
      </c>
      <c r="E236" s="7">
        <f>D120/0.25</f>
        <v>-45499.999999999993</v>
      </c>
    </row>
    <row r="237" spans="1:5">
      <c r="D237" t="s">
        <v>34</v>
      </c>
      <c r="E237" s="7">
        <f>SUM(E235:E236)</f>
        <v>204499.13636363635</v>
      </c>
    </row>
    <row r="240" spans="1:5" ht="15">
      <c r="C240" s="5" t="s">
        <v>150</v>
      </c>
      <c r="D240" t="s">
        <v>151</v>
      </c>
      <c r="E240" s="7">
        <f>(200000-190000*11/15)*0.25</f>
        <v>15166.666666666664</v>
      </c>
    </row>
    <row r="241" spans="4:5">
      <c r="D241" t="s">
        <v>9</v>
      </c>
      <c r="E241" s="7">
        <f>E240*0.25*-1</f>
        <v>-3791.6666666666661</v>
      </c>
    </row>
    <row r="242" spans="4:5">
      <c r="D242" t="s">
        <v>32</v>
      </c>
      <c r="E242" s="7">
        <f>(G150-C150)*0.25*-1</f>
        <v>918.25</v>
      </c>
    </row>
    <row r="243" spans="4:5">
      <c r="D243" t="s">
        <v>9</v>
      </c>
      <c r="E243" s="7">
        <f>E242*0.25*-1</f>
        <v>-229.5625</v>
      </c>
    </row>
    <row r="244" spans="4:5">
      <c r="D244" t="s">
        <v>40</v>
      </c>
      <c r="E244" s="7">
        <f>(30000-20000)*0.25*-1</f>
        <v>-2500</v>
      </c>
    </row>
    <row r="245" spans="4:5">
      <c r="D245" t="s">
        <v>9</v>
      </c>
      <c r="E245" s="7">
        <f>E244*0.25*-1</f>
        <v>625</v>
      </c>
    </row>
    <row r="246" spans="4:5">
      <c r="D246" t="s">
        <v>33</v>
      </c>
      <c r="E246" s="7">
        <f>E247-E240-E241-E242-E243-E244-E245</f>
        <v>-31313.471590909088</v>
      </c>
    </row>
    <row r="247" spans="4:5">
      <c r="D247" t="s">
        <v>34</v>
      </c>
      <c r="E247" s="7">
        <f>E232</f>
        <v>-21124.784090909088</v>
      </c>
    </row>
  </sheetData>
  <sheetProtection password="D3E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פתרון 1</vt:lpstr>
      <vt:lpstr>פתרון 2</vt:lpstr>
      <vt:lpstr>פיתרון 3</vt:lpstr>
      <vt:lpstr>פתרון 4</vt:lpstr>
      <vt:lpstr>'פתרון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MAAYAN</cp:lastModifiedBy>
  <dcterms:created xsi:type="dcterms:W3CDTF">2013-03-14T14:51:46Z</dcterms:created>
  <dcterms:modified xsi:type="dcterms:W3CDTF">2013-12-31T11:18:38Z</dcterms:modified>
</cp:coreProperties>
</file>