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12225" windowHeight="7365" activeTab="1"/>
  </bookViews>
  <sheets>
    <sheet name="פתרון 1" sheetId="1" r:id="rId1"/>
    <sheet name="פתרון 2" sheetId="9" r:id="rId2"/>
    <sheet name="השקעה בחברת יעל" sheetId="10" r:id="rId3"/>
    <sheet name="השקעה בחברת טל" sheetId="6" r:id="rId4"/>
    <sheet name="השקעה בחברת גולן" sheetId="7" r:id="rId5"/>
    <sheet name="פתרון 4" sheetId="8" r:id="rId6"/>
  </sheets>
  <definedNames>
    <definedName name="מס" localSheetId="2">#REF!</definedName>
    <definedName name="מס" localSheetId="1">'פתרון 2'!$N$67</definedName>
    <definedName name="מס">#REF!</definedName>
  </definedNames>
  <calcPr calcId="125725"/>
</workbook>
</file>

<file path=xl/calcChain.xml><?xml version="1.0" encoding="utf-8"?>
<calcChain xmlns="http://schemas.openxmlformats.org/spreadsheetml/2006/main">
  <c r="D18" i="9"/>
  <c r="E154"/>
  <c r="C171"/>
  <c r="C170"/>
  <c r="D20" s="1"/>
  <c r="C59" i="10" l="1"/>
  <c r="C60" s="1"/>
  <c r="C51"/>
  <c r="C50"/>
  <c r="C41"/>
  <c r="C42" s="1"/>
  <c r="C39"/>
  <c r="C40" s="1"/>
  <c r="C35"/>
  <c r="C36" s="1"/>
  <c r="C44" s="1"/>
  <c r="C43" s="1"/>
  <c r="C26"/>
  <c r="C25"/>
  <c r="C23"/>
  <c r="C22"/>
  <c r="C21"/>
  <c r="C18"/>
  <c r="C17"/>
  <c r="C16"/>
  <c r="C15"/>
  <c r="C14"/>
  <c r="C13"/>
  <c r="C12"/>
  <c r="C10"/>
  <c r="C9"/>
  <c r="C8"/>
  <c r="C6"/>
  <c r="C5"/>
  <c r="C4"/>
  <c r="C11" s="1"/>
  <c r="C19" s="1"/>
  <c r="C24" s="1"/>
  <c r="C27" s="1"/>
  <c r="C64" l="1"/>
  <c r="C63"/>
  <c r="G217" i="9" l="1"/>
  <c r="D217"/>
  <c r="D215"/>
  <c r="D211"/>
  <c r="G210"/>
  <c r="D207"/>
  <c r="G204"/>
  <c r="D198"/>
  <c r="B198" s="1"/>
  <c r="D19" s="1"/>
  <c r="B191"/>
  <c r="E191" s="1"/>
  <c r="G208" s="1"/>
  <c r="C185"/>
  <c r="D177"/>
  <c r="D179" s="1"/>
  <c r="D181" s="1"/>
  <c r="D22" s="1"/>
  <c r="D165"/>
  <c r="D164"/>
  <c r="D21" s="1"/>
  <c r="D163"/>
  <c r="D161"/>
  <c r="G153"/>
  <c r="G154" s="1"/>
  <c r="C153"/>
  <c r="C152" s="1"/>
  <c r="D214" s="1"/>
  <c r="D218" s="1"/>
  <c r="C151"/>
  <c r="E149"/>
  <c r="E150" s="1"/>
  <c r="D12" s="1"/>
  <c r="C149"/>
  <c r="C148"/>
  <c r="E148" s="1"/>
  <c r="D6" s="1"/>
  <c r="D141"/>
  <c r="G134"/>
  <c r="E128"/>
  <c r="E127"/>
  <c r="E125"/>
  <c r="E124"/>
  <c r="E117"/>
  <c r="E115"/>
  <c r="E118" s="1"/>
  <c r="E114"/>
  <c r="E120" s="1"/>
  <c r="G74" s="1"/>
  <c r="E107"/>
  <c r="E105"/>
  <c r="E108" s="1"/>
  <c r="E104"/>
  <c r="E98"/>
  <c r="E97"/>
  <c r="H93"/>
  <c r="H91"/>
  <c r="H89"/>
  <c r="E72" s="1"/>
  <c r="H87"/>
  <c r="H78"/>
  <c r="F78"/>
  <c r="C76"/>
  <c r="C77" s="1"/>
  <c r="I73"/>
  <c r="G72"/>
  <c r="G73" s="1"/>
  <c r="C72"/>
  <c r="C73" s="1"/>
  <c r="C70"/>
  <c r="C71" s="1"/>
  <c r="E71" s="1"/>
  <c r="F63"/>
  <c r="D159" s="1"/>
  <c r="D160" s="1"/>
  <c r="D8" s="1"/>
  <c r="F59"/>
  <c r="F58"/>
  <c r="D205" s="1"/>
  <c r="E51"/>
  <c r="E53" s="1"/>
  <c r="D46" s="1"/>
  <c r="D47"/>
  <c r="N46"/>
  <c r="H34"/>
  <c r="F34"/>
  <c r="G202" s="1"/>
  <c r="C34"/>
  <c r="D7" s="1"/>
  <c r="D13"/>
  <c r="E99" l="1"/>
  <c r="C74" s="1"/>
  <c r="C75" s="1"/>
  <c r="E110"/>
  <c r="E74" s="1"/>
  <c r="C150"/>
  <c r="D210" s="1"/>
  <c r="D212" s="1"/>
  <c r="G212" s="1"/>
  <c r="D15" s="1"/>
  <c r="D72"/>
  <c r="D73" s="1"/>
  <c r="E73"/>
  <c r="F72"/>
  <c r="F73" s="1"/>
  <c r="F61"/>
  <c r="F65" s="1"/>
  <c r="E70"/>
  <c r="D206"/>
  <c r="D208" s="1"/>
  <c r="G206" s="1"/>
  <c r="D9" s="1"/>
  <c r="E130"/>
  <c r="I74" s="1"/>
  <c r="D162"/>
  <c r="D14" s="1"/>
  <c r="F71"/>
  <c r="G71" s="1"/>
  <c r="D71"/>
  <c r="E75"/>
  <c r="D74"/>
  <c r="D75" s="1"/>
  <c r="I75"/>
  <c r="H74"/>
  <c r="H75" s="1"/>
  <c r="D48"/>
  <c r="C79" s="1"/>
  <c r="C78" s="1"/>
  <c r="D78" s="1"/>
  <c r="D4"/>
  <c r="G75"/>
  <c r="F74"/>
  <c r="F75" s="1"/>
  <c r="G76"/>
  <c r="H72"/>
  <c r="E76"/>
  <c r="I76"/>
  <c r="G215"/>
  <c r="G219" s="1"/>
  <c r="D23" s="1"/>
  <c r="E315" i="8"/>
  <c r="E314"/>
  <c r="E313"/>
  <c r="E301"/>
  <c r="J297"/>
  <c r="J296"/>
  <c r="E288" s="1"/>
  <c r="E287" s="1"/>
  <c r="D29" s="1"/>
  <c r="J295"/>
  <c r="J294"/>
  <c r="J289"/>
  <c r="E289"/>
  <c r="J288"/>
  <c r="E286"/>
  <c r="D281"/>
  <c r="D280" s="1"/>
  <c r="D28" s="1"/>
  <c r="D279"/>
  <c r="D274"/>
  <c r="I274" s="1"/>
  <c r="J274" s="1"/>
  <c r="D273"/>
  <c r="I273" s="1"/>
  <c r="J273" s="1"/>
  <c r="J272"/>
  <c r="D272"/>
  <c r="D271"/>
  <c r="J271" s="1"/>
  <c r="J270"/>
  <c r="I270" s="1"/>
  <c r="I269"/>
  <c r="J269" s="1"/>
  <c r="D269"/>
  <c r="D270" s="1"/>
  <c r="J268"/>
  <c r="I268" s="1"/>
  <c r="D268"/>
  <c r="D267"/>
  <c r="I267" s="1"/>
  <c r="J262"/>
  <c r="J259"/>
  <c r="J263" s="1"/>
  <c r="J264" s="1"/>
  <c r="D261" s="1"/>
  <c r="D262" s="1"/>
  <c r="D276" s="1"/>
  <c r="D275" s="1"/>
  <c r="J275" s="1"/>
  <c r="E311" s="1"/>
  <c r="E255"/>
  <c r="D255"/>
  <c r="E257" s="1"/>
  <c r="E254"/>
  <c r="E242"/>
  <c r="E241"/>
  <c r="E240"/>
  <c r="E237"/>
  <c r="E238" s="1"/>
  <c r="E236"/>
  <c r="E235"/>
  <c r="E233"/>
  <c r="E234" s="1"/>
  <c r="E232"/>
  <c r="E231"/>
  <c r="E229"/>
  <c r="G228"/>
  <c r="F224"/>
  <c r="J221"/>
  <c r="J222" s="1"/>
  <c r="E213" s="1"/>
  <c r="J214"/>
  <c r="J215" s="1"/>
  <c r="E214"/>
  <c r="E212"/>
  <c r="E203"/>
  <c r="E204" s="1"/>
  <c r="E206" s="1"/>
  <c r="E208" s="1"/>
  <c r="D22" s="1"/>
  <c r="E202"/>
  <c r="D197"/>
  <c r="E190"/>
  <c r="E189"/>
  <c r="E188"/>
  <c r="E187"/>
  <c r="E186"/>
  <c r="E184"/>
  <c r="E185" s="1"/>
  <c r="E183"/>
  <c r="E182"/>
  <c r="E180"/>
  <c r="E181" s="1"/>
  <c r="E178"/>
  <c r="E191" s="1"/>
  <c r="G177"/>
  <c r="G174"/>
  <c r="E174"/>
  <c r="E165"/>
  <c r="E164"/>
  <c r="E163"/>
  <c r="E160"/>
  <c r="E157"/>
  <c r="E158" s="1"/>
  <c r="E156"/>
  <c r="E155"/>
  <c r="E153"/>
  <c r="G152"/>
  <c r="J147"/>
  <c r="J149" s="1"/>
  <c r="J146"/>
  <c r="E145"/>
  <c r="E144"/>
  <c r="E146" s="1"/>
  <c r="E148" s="1"/>
  <c r="E150" s="1"/>
  <c r="D16" s="1"/>
  <c r="E134"/>
  <c r="E133"/>
  <c r="E135" s="1"/>
  <c r="E137" s="1"/>
  <c r="E139" s="1"/>
  <c r="D15" s="1"/>
  <c r="E118"/>
  <c r="G110"/>
  <c r="E99"/>
  <c r="E98"/>
  <c r="E97"/>
  <c r="E95"/>
  <c r="E94"/>
  <c r="E92"/>
  <c r="E93" s="1"/>
  <c r="E91"/>
  <c r="E90"/>
  <c r="E88"/>
  <c r="E89" s="1"/>
  <c r="E86"/>
  <c r="J80"/>
  <c r="J82" s="1"/>
  <c r="J79"/>
  <c r="E78"/>
  <c r="E77"/>
  <c r="E79" s="1"/>
  <c r="E81" s="1"/>
  <c r="E83" s="1"/>
  <c r="D9" s="1"/>
  <c r="E69"/>
  <c r="E71" s="1"/>
  <c r="E73" s="1"/>
  <c r="D8" s="1"/>
  <c r="E68"/>
  <c r="E67"/>
  <c r="H62"/>
  <c r="G60"/>
  <c r="G61" s="1"/>
  <c r="D60"/>
  <c r="D61" s="1"/>
  <c r="H58"/>
  <c r="K58" s="1"/>
  <c r="L58" s="1"/>
  <c r="N58" s="1"/>
  <c r="P58" s="1"/>
  <c r="D58"/>
  <c r="D59" s="1"/>
  <c r="H59" s="1"/>
  <c r="K59" s="1"/>
  <c r="L59" s="1"/>
  <c r="N59" s="1"/>
  <c r="P59" s="1"/>
  <c r="P57"/>
  <c r="G56"/>
  <c r="G57" s="1"/>
  <c r="D56"/>
  <c r="D57" s="1"/>
  <c r="P55"/>
  <c r="E304" s="1"/>
  <c r="G54"/>
  <c r="D54"/>
  <c r="D55" s="1"/>
  <c r="D46"/>
  <c r="D45"/>
  <c r="D43"/>
  <c r="G38"/>
  <c r="G40" s="1"/>
  <c r="D42" s="1"/>
  <c r="D47" s="1"/>
  <c r="C36" s="1"/>
  <c r="C37" s="1"/>
  <c r="D64" s="1"/>
  <c r="D26"/>
  <c r="D25"/>
  <c r="D20"/>
  <c r="D13"/>
  <c r="D6"/>
  <c r="D5"/>
  <c r="F70" i="9" l="1"/>
  <c r="G70" s="1"/>
  <c r="D70"/>
  <c r="I77"/>
  <c r="I79" s="1"/>
  <c r="H76"/>
  <c r="H77" s="1"/>
  <c r="E77"/>
  <c r="E79" s="1"/>
  <c r="D76"/>
  <c r="D77" s="1"/>
  <c r="H73"/>
  <c r="G77"/>
  <c r="G79" s="1"/>
  <c r="F76"/>
  <c r="F77" s="1"/>
  <c r="E153"/>
  <c r="F79"/>
  <c r="D11" s="1"/>
  <c r="D79"/>
  <c r="D5" s="1"/>
  <c r="D10" s="1"/>
  <c r="D16" s="1"/>
  <c r="E243" i="8"/>
  <c r="D63"/>
  <c r="H57"/>
  <c r="E307"/>
  <c r="E310"/>
  <c r="H61"/>
  <c r="K61" s="1"/>
  <c r="L61" s="1"/>
  <c r="N61" s="1"/>
  <c r="O61" s="1"/>
  <c r="P61" s="1"/>
  <c r="E166"/>
  <c r="E215"/>
  <c r="E217" s="1"/>
  <c r="E219" s="1"/>
  <c r="D23" s="1"/>
  <c r="J267"/>
  <c r="I276"/>
  <c r="E308"/>
  <c r="H54"/>
  <c r="H56"/>
  <c r="J56" s="1"/>
  <c r="H60"/>
  <c r="K60" s="1"/>
  <c r="L60" s="1"/>
  <c r="N60" s="1"/>
  <c r="O60" s="1"/>
  <c r="P60" s="1"/>
  <c r="E309" s="1"/>
  <c r="E306"/>
  <c r="G55"/>
  <c r="H55" s="1"/>
  <c r="H79" i="9" l="1"/>
  <c r="D17" s="1"/>
  <c r="D24" s="1"/>
  <c r="J276" i="8"/>
  <c r="K56"/>
  <c r="L56" s="1"/>
  <c r="J57"/>
  <c r="K57" s="1"/>
  <c r="L57" s="1"/>
  <c r="G64"/>
  <c r="D7" s="1"/>
  <c r="D10" s="1"/>
  <c r="J54"/>
  <c r="H64"/>
  <c r="E96"/>
  <c r="H63"/>
  <c r="K54" l="1"/>
  <c r="J55"/>
  <c r="K55" s="1"/>
  <c r="L55" s="1"/>
  <c r="I63"/>
  <c r="K63" s="1"/>
  <c r="L63" s="1"/>
  <c r="N63" s="1"/>
  <c r="I62"/>
  <c r="M56"/>
  <c r="M57" s="1"/>
  <c r="N57"/>
  <c r="O57" s="1"/>
  <c r="E121"/>
  <c r="E127" s="1"/>
  <c r="E100"/>
  <c r="E101" s="1"/>
  <c r="E128" l="1"/>
  <c r="I64"/>
  <c r="D11" s="1"/>
  <c r="D12" s="1"/>
  <c r="J62"/>
  <c r="N56"/>
  <c r="L54"/>
  <c r="O56" l="1"/>
  <c r="P56" s="1"/>
  <c r="E305" s="1"/>
  <c r="M54"/>
  <c r="K62"/>
  <c r="J64"/>
  <c r="D14" s="1"/>
  <c r="D17"/>
  <c r="M55" l="1"/>
  <c r="N55" s="1"/>
  <c r="O55" s="1"/>
  <c r="D19"/>
  <c r="E167"/>
  <c r="N54"/>
  <c r="L62"/>
  <c r="K64"/>
  <c r="O54" l="1"/>
  <c r="O64" s="1"/>
  <c r="D27" s="1"/>
  <c r="D18"/>
  <c r="C196" s="1"/>
  <c r="D198" s="1"/>
  <c r="E192"/>
  <c r="N62"/>
  <c r="L64"/>
  <c r="M64"/>
  <c r="D21" s="1"/>
  <c r="D24" s="1"/>
  <c r="D30" l="1"/>
  <c r="E244"/>
  <c r="N64"/>
  <c r="P64" s="1"/>
  <c r="P54"/>
  <c r="E303" s="1"/>
  <c r="E316" s="1"/>
  <c r="E317" s="1"/>
  <c r="C62" i="7"/>
  <c r="C45"/>
  <c r="C46" s="1"/>
  <c r="C48" s="1"/>
  <c r="C41"/>
  <c r="C42" s="1"/>
  <c r="C29"/>
  <c r="C30" s="1"/>
  <c r="C24"/>
  <c r="C25" s="1"/>
  <c r="C15"/>
  <c r="C12"/>
  <c r="C11"/>
  <c r="C9"/>
  <c r="C8"/>
  <c r="C6"/>
  <c r="C5"/>
  <c r="C4"/>
  <c r="C10" s="1"/>
  <c r="C14" s="1"/>
  <c r="C17" s="1"/>
  <c r="C69" i="6"/>
  <c r="C58"/>
  <c r="C56"/>
  <c r="C43"/>
  <c r="C42"/>
  <c r="C38"/>
  <c r="C39" s="1"/>
  <c r="C46" s="1"/>
  <c r="C45" s="1"/>
  <c r="C26"/>
  <c r="C18"/>
  <c r="C17"/>
  <c r="C16"/>
  <c r="C14"/>
  <c r="C12"/>
  <c r="C11"/>
  <c r="C9"/>
  <c r="C8"/>
  <c r="C7"/>
  <c r="C10" s="1"/>
  <c r="C15" s="1"/>
  <c r="C19" s="1"/>
  <c r="C6"/>
  <c r="C5"/>
  <c r="C4"/>
  <c r="E29" i="1" l="1"/>
  <c r="D76"/>
  <c r="D75"/>
  <c r="D74"/>
  <c r="D71"/>
  <c r="D66"/>
  <c r="E30"/>
  <c r="C42"/>
  <c r="D148"/>
  <c r="D41" s="1"/>
  <c r="D147"/>
  <c r="E41" s="1"/>
  <c r="C141"/>
  <c r="C144" s="1"/>
  <c r="F40" s="1"/>
  <c r="C140"/>
  <c r="C143" s="1"/>
  <c r="C40" s="1"/>
  <c r="E20"/>
  <c r="E10"/>
  <c r="C132"/>
  <c r="C133" s="1"/>
  <c r="D125"/>
  <c r="D124"/>
  <c r="C128" s="1"/>
  <c r="C38" s="1"/>
  <c r="B115"/>
  <c r="B116" s="1"/>
  <c r="B112"/>
  <c r="C119" s="1"/>
  <c r="C37" s="1"/>
  <c r="B103"/>
  <c r="B101"/>
  <c r="B99"/>
  <c r="C85"/>
  <c r="E7" s="1"/>
  <c r="C91"/>
  <c r="C89" s="1"/>
  <c r="D93" s="1"/>
  <c r="D94" s="1"/>
  <c r="F41" l="1"/>
  <c r="C136"/>
  <c r="D39" s="1"/>
  <c r="E19"/>
  <c r="C135"/>
  <c r="E39" s="1"/>
  <c r="E43" s="1"/>
  <c r="B100"/>
  <c r="B102"/>
  <c r="D126"/>
  <c r="E8" s="1"/>
  <c r="C129"/>
  <c r="F38" s="1"/>
  <c r="D95"/>
  <c r="E17"/>
  <c r="B113"/>
  <c r="B114" s="1"/>
  <c r="C120" s="1"/>
  <c r="F37" s="1"/>
  <c r="D42"/>
  <c r="D68"/>
  <c r="E14" l="1"/>
  <c r="F59"/>
  <c r="F60" s="1"/>
  <c r="F39"/>
  <c r="C105"/>
  <c r="F36" s="1"/>
  <c r="D36" s="1"/>
  <c r="D37"/>
  <c r="D40"/>
  <c r="D38"/>
  <c r="E21"/>
  <c r="F57" l="1"/>
  <c r="E62" s="1"/>
  <c r="D49" s="1"/>
  <c r="C43"/>
  <c r="E23"/>
  <c r="F43"/>
  <c r="D43"/>
  <c r="D51" l="1"/>
  <c r="E25"/>
  <c r="E28" s="1"/>
  <c r="E31" s="1"/>
  <c r="D47" s="1"/>
  <c r="D53" l="1"/>
  <c r="D78" s="1"/>
  <c r="D50"/>
  <c r="D70" s="1"/>
</calcChain>
</file>

<file path=xl/sharedStrings.xml><?xml version="1.0" encoding="utf-8"?>
<sst xmlns="http://schemas.openxmlformats.org/spreadsheetml/2006/main" count="904" uniqueCount="591">
  <si>
    <t>רווח חשבונאי לפני מיסים</t>
  </si>
  <si>
    <t>הוסף</t>
  </si>
  <si>
    <t>סה"כ תוספות</t>
  </si>
  <si>
    <t>הפחת</t>
  </si>
  <si>
    <t>הוצאות הנפקה</t>
  </si>
  <si>
    <t>סה"כ הפחתות</t>
  </si>
  <si>
    <t>נדרש ב' - חישוב יתרות מיסים נדחים</t>
  </si>
  <si>
    <t>הפרשה לאחריות</t>
  </si>
  <si>
    <t>חישוב מספר</t>
  </si>
  <si>
    <t>שיעור מס סטטוטורי</t>
  </si>
  <si>
    <t>סכום המס לפי שיעור המס הסטטוטורי</t>
  </si>
  <si>
    <t>סה"כ</t>
  </si>
  <si>
    <t>מיסים בגין שנים קודמות</t>
  </si>
  <si>
    <t>השפעת שינוים בשיעור המס על מיסים נדחים</t>
  </si>
  <si>
    <t>הוצאות המיסים בספרים</t>
  </si>
  <si>
    <t>חישובי עזר</t>
  </si>
  <si>
    <t>נכס בספרים</t>
  </si>
  <si>
    <t>ניקוד</t>
  </si>
  <si>
    <t>נדרש א' - דוח התאמה למס הכנסה לשנת 2014</t>
  </si>
  <si>
    <t>הוצאות פחת מכונות ספרים</t>
  </si>
  <si>
    <t>הוצאות בגין קנס</t>
  </si>
  <si>
    <t>הפסד משערוך ניירות ערך סחירים</t>
  </si>
  <si>
    <t>פעילות מופסקת</t>
  </si>
  <si>
    <t>הפרשי הצמדה וריבית למס הכנסה</t>
  </si>
  <si>
    <t>הוצאות נסיעה לחו"ל (*)</t>
  </si>
  <si>
    <t>הוצאות פחת מכונות מס הכנסה</t>
  </si>
  <si>
    <t>הכנסות שכירות</t>
  </si>
  <si>
    <t>הכנסה חייבת בשיעור 35%</t>
  </si>
  <si>
    <t>הכנסה חייבת בשיעור 35% לפני קיזוז הפסדים מועברים</t>
  </si>
  <si>
    <t>בניכוי הפסד מועבר משנה קודמת</t>
  </si>
  <si>
    <t>חבות המס השוטפת בגין שנת 2014</t>
  </si>
  <si>
    <t>1. מכונות ייצור</t>
  </si>
  <si>
    <t>שחזור אורך חיי המכונות לצרכי מס</t>
  </si>
  <si>
    <t>נכס לצרכי מס</t>
  </si>
  <si>
    <t>הפרש זמני</t>
  </si>
  <si>
    <t>56250/0.36=</t>
  </si>
  <si>
    <t>P.N.</t>
  </si>
  <si>
    <t>750,000*3.5/6=</t>
  </si>
  <si>
    <t xml:space="preserve">פחת נצבר לצרכי מס 31.12.2013 - </t>
  </si>
  <si>
    <t>750,000-281,250=</t>
  </si>
  <si>
    <t>פחת לשנה לצרכי מס</t>
  </si>
  <si>
    <t>אורך חיים מקורי לצרכי מס (בשנים)</t>
  </si>
  <si>
    <t>750,000/187,500=</t>
  </si>
  <si>
    <t>הוצאות הפחת בספרים</t>
  </si>
  <si>
    <t>750,000/6=</t>
  </si>
  <si>
    <t>הסבר</t>
  </si>
  <si>
    <t>נתון</t>
  </si>
  <si>
    <t>מכונות ייצור</t>
  </si>
  <si>
    <t>הכנסות שכירות מראש</t>
  </si>
  <si>
    <t>ניירות ערך סחירים</t>
  </si>
  <si>
    <t>הפסד מועבר</t>
  </si>
  <si>
    <t>שינוי</t>
  </si>
  <si>
    <t>שינוי אחר</t>
  </si>
  <si>
    <t>חישוב מס נדחה ליום 31.12.14:</t>
  </si>
  <si>
    <t>התפתחות ההפרש הזמני -</t>
  </si>
  <si>
    <t>31.12.14</t>
  </si>
  <si>
    <t>31.12.15</t>
  </si>
  <si>
    <t>31.12.16</t>
  </si>
  <si>
    <t>750,000*(0.5/4-2.5/6)=</t>
  </si>
  <si>
    <t>750,000*(0-1.5/6)=</t>
  </si>
  <si>
    <t>750,000*(0-0.5/6)=</t>
  </si>
  <si>
    <t>מס נדחה ליום 31.12.14:</t>
  </si>
  <si>
    <t>הכנסה לשנה</t>
  </si>
  <si>
    <t>2. הכנסות שכירות מראש</t>
  </si>
  <si>
    <t>התפתחות ההפרש הזמני</t>
  </si>
  <si>
    <t>31.12.13</t>
  </si>
  <si>
    <t>2500*2.5=</t>
  </si>
  <si>
    <t>2500*1.5=</t>
  </si>
  <si>
    <t>מס נדחה ליום 31.12.13:</t>
  </si>
  <si>
    <t>3. הפרשה לאחריות</t>
  </si>
  <si>
    <t>עלייה בהפרשה לאחריות</t>
  </si>
  <si>
    <t>יתרת ההפרשה ליום 31.12.2013:</t>
  </si>
  <si>
    <t>יתרת ההפרשה ליום 31.12.2014:</t>
  </si>
  <si>
    <t>2500*0.5=</t>
  </si>
  <si>
    <t>עלייה בהפרשה</t>
  </si>
  <si>
    <t>רווח ממימוש ניירות ערך סחירים (*)</t>
  </si>
  <si>
    <t>4. הוצאות הנפקה</t>
  </si>
  <si>
    <t>סכום הוצאות ההנפקה</t>
  </si>
  <si>
    <t>מס הכנסה מכיר בשנה</t>
  </si>
  <si>
    <t>מס נדחה כנגד פרמיה</t>
  </si>
  <si>
    <t>סגירה השנה כנגד רו"ה</t>
  </si>
  <si>
    <t>5%*250,000*(2-2.5)=</t>
  </si>
  <si>
    <t>3%*250,000*(2.6-2.5)=</t>
  </si>
  <si>
    <t>הפרש זמני ליום 31.12.13:</t>
  </si>
  <si>
    <t>הפרש זמני ליום 31.12.14:</t>
  </si>
  <si>
    <t>8%*250,000*(2.1-2.5)=</t>
  </si>
  <si>
    <t>5%*250,000*(2.1-2)=</t>
  </si>
  <si>
    <t>5. ניירות ערך סחירים</t>
  </si>
  <si>
    <t>6. פעילות מופסקת</t>
  </si>
  <si>
    <t>מס נדחה כנגד רווח מפעילות מופסקת</t>
  </si>
  <si>
    <t>36,000/2=</t>
  </si>
  <si>
    <t>סגירה כנגד הוצאות מס</t>
  </si>
  <si>
    <t>בגין הכנסה חייבת במס רגיל</t>
  </si>
  <si>
    <t>מס בגין רווח ממימוש ניירות ערך סחירים</t>
  </si>
  <si>
    <t>ניכוי בגין הוצאות נסיעה לחו"ל</t>
  </si>
  <si>
    <t>15%*8,000=</t>
  </si>
  <si>
    <t>נדרש ג' הרכב הוצאות המיסים בדוח רווח והפסד</t>
  </si>
  <si>
    <t>הוצאות מס שוטפות</t>
  </si>
  <si>
    <t>הוצאות מס נדחות</t>
  </si>
  <si>
    <t>שינוי רגיל</t>
  </si>
  <si>
    <t>שינוי בשיעור המס</t>
  </si>
  <si>
    <t>סה"כ הוצאות מס נדחות</t>
  </si>
  <si>
    <t>סה"כ הוצאות מס בספרים</t>
  </si>
  <si>
    <t>חישוב שינוי רגיל לצורך פיצול הוצאות המס הנדחות</t>
  </si>
  <si>
    <t>השינוי הרגיל מורכב מ:</t>
  </si>
  <si>
    <t xml:space="preserve">א. כל השינוי בגין ניירות הערך הסחירים (המיסים הנדחים נוצרו לפי מס על רווחי הון) - </t>
  </si>
  <si>
    <t>הכנסות מס נדחות</t>
  </si>
  <si>
    <t xml:space="preserve">ב. שינוי בגין יתר ההפרשים הזמנייים - </t>
  </si>
  <si>
    <t>סך השינוי בהפרשים הזמניים (למעט ניירות ערך סחירים)</t>
  </si>
  <si>
    <t>סה"כ הפחת</t>
  </si>
  <si>
    <t>הוצאות מיסים נדחים בגין ההפרשים הזמניים (למעט ני"ע)</t>
  </si>
  <si>
    <t>133,875*35%=</t>
  </si>
  <si>
    <t>סה"כ השינוי הרגיל - הוצאות מיסים נדחות בסך</t>
  </si>
  <si>
    <t>נדרש ד' ביאור מס תיאורטי</t>
  </si>
  <si>
    <t>קנסות</t>
  </si>
  <si>
    <t>25,000*0.35=</t>
  </si>
  <si>
    <t>ריבית והפרשי הצמדה</t>
  </si>
  <si>
    <t>3,000*0.35=</t>
  </si>
  <si>
    <t>נסיעות לחו"ל</t>
  </si>
  <si>
    <t>8,000*(0.35-0.15)=</t>
  </si>
  <si>
    <t>3%*250,000*(2.6-2.1)*25%=</t>
  </si>
  <si>
    <t>הפסד מניירות ערך שלא מומשו</t>
  </si>
  <si>
    <t>רווח מניירות ערך שמומשו</t>
  </si>
  <si>
    <t>6,250*(0.35-0.25)=</t>
  </si>
  <si>
    <t>750*(0.35-0.25)=</t>
  </si>
  <si>
    <t xml:space="preserve">נדרש א' - תנועה בחשבון השקעה מקרוני בספרי חברת פסטה - </t>
  </si>
  <si>
    <t xml:space="preserve">עלות </t>
  </si>
  <si>
    <t>הה"מ</t>
  </si>
  <si>
    <t>ק.הון זמין למכירה</t>
  </si>
  <si>
    <t>דיבידנד</t>
  </si>
  <si>
    <t>מדיניות נדל"ן</t>
  </si>
  <si>
    <t>רווח אקווטי</t>
  </si>
  <si>
    <t>הפסד</t>
  </si>
  <si>
    <t xml:space="preserve">עסקאות עם בעל שליטה </t>
  </si>
  <si>
    <t>התאמת מידיניות</t>
  </si>
  <si>
    <t xml:space="preserve">פדיון מניות בכורה </t>
  </si>
  <si>
    <t xml:space="preserve">הסברים  -  </t>
  </si>
  <si>
    <t xml:space="preserve">שחזור הון המניות הרגילות של מקרוני ערב ההנפקה - </t>
  </si>
  <si>
    <t>סך הדיבידנד שחולק ביום 31/12/11 -</t>
  </si>
  <si>
    <t>P.N - מניות רגילות</t>
  </si>
  <si>
    <t>מ"ב לא צוברות</t>
  </si>
  <si>
    <t>מ"ב צוברות</t>
  </si>
  <si>
    <t>X = מס' המניות הרגילות לתאריך 31/12/11</t>
  </si>
  <si>
    <t xml:space="preserve">X * 0.75 = </t>
  </si>
  <si>
    <t>X = 40,000</t>
  </si>
  <si>
    <t xml:space="preserve">אזי ליום 1/1/11 - הון המניות הריגלות -  </t>
  </si>
  <si>
    <t>40,000- 10,000 = 30,000</t>
  </si>
  <si>
    <t xml:space="preserve">חישוב ה"מ </t>
  </si>
  <si>
    <t xml:space="preserve">אחוזי החזקה  - </t>
  </si>
  <si>
    <t>תמורה</t>
  </si>
  <si>
    <t xml:space="preserve">143,750+ 21563 = </t>
  </si>
  <si>
    <t>=</t>
  </si>
  <si>
    <t>1,500 + 10,000</t>
  </si>
  <si>
    <t>שווי נרכש</t>
  </si>
  <si>
    <t xml:space="preserve">355,000 * 28.75% = </t>
  </si>
  <si>
    <t>30,000+10,000</t>
  </si>
  <si>
    <t xml:space="preserve">חישוב התמורה - </t>
  </si>
  <si>
    <t xml:space="preserve">שווי מניה ל-1/1/11 - </t>
  </si>
  <si>
    <t xml:space="preserve">שווי 5% שהחזיקה פסטה לפני - </t>
  </si>
  <si>
    <t xml:space="preserve">חישוב שווי נרכש - </t>
  </si>
  <si>
    <t xml:space="preserve">חישוב הון עצמי של בעלי המניות הרגילות - </t>
  </si>
  <si>
    <t xml:space="preserve">30K + 50K + 65K + 100K + 100K  + 11,250 + 143,750 = </t>
  </si>
  <si>
    <t xml:space="preserve">מ"ב צוברות </t>
  </si>
  <si>
    <t>מ"ב שאינן צוברות</t>
  </si>
  <si>
    <t>הון עצמי למ"ר</t>
  </si>
  <si>
    <t xml:space="preserve">תיקון הון עצמי (מידיניות נדל"ן ) </t>
  </si>
  <si>
    <t xml:space="preserve">(150,000*8/10-150,000) * 75% = </t>
  </si>
  <si>
    <t xml:space="preserve">סך הון עצמי מתוקן למ"ר - </t>
  </si>
  <si>
    <t xml:space="preserve">טבלת הפרש מקורי </t>
  </si>
  <si>
    <t xml:space="preserve">שיעור המס - </t>
  </si>
  <si>
    <t>הפחתה</t>
  </si>
  <si>
    <t xml:space="preserve">מלאי </t>
  </si>
  <si>
    <t>מ"נ</t>
  </si>
  <si>
    <t>אג"ח</t>
  </si>
  <si>
    <t>מבנה</t>
  </si>
  <si>
    <t>נדל"ן להשקעה</t>
  </si>
  <si>
    <t>מוניטין</t>
  </si>
  <si>
    <t xml:space="preserve">אג"ח </t>
  </si>
  <si>
    <t>N=3 , FV = 100,000 , PMT= 100,000* 5%=5,000</t>
  </si>
  <si>
    <t xml:space="preserve">פנקסני </t>
  </si>
  <si>
    <t>שווי הוגן</t>
  </si>
  <si>
    <t>הפרש</t>
  </si>
  <si>
    <t>I = 4%</t>
  </si>
  <si>
    <t>I = 6%</t>
  </si>
  <si>
    <t xml:space="preserve">שווי פנקסני מבנה בניכוי קרקע - </t>
  </si>
  <si>
    <t xml:space="preserve">שווי הוגן מבנה בניכוי קרקע - </t>
  </si>
  <si>
    <t>ירידת ערך מבנה 31/12/11</t>
  </si>
  <si>
    <t xml:space="preserve">בספרי ב' - </t>
  </si>
  <si>
    <t>ע.מ.מ</t>
  </si>
  <si>
    <t>ס.ב.ה.</t>
  </si>
  <si>
    <t xml:space="preserve">בספרי א' - </t>
  </si>
  <si>
    <t xml:space="preserve">יתרת ה"מ - </t>
  </si>
  <si>
    <t>ירידת ערך מבנה 31/12/12</t>
  </si>
  <si>
    <t>ירידת ערך מבנה 31/12/13</t>
  </si>
  <si>
    <t xml:space="preserve">ניירת ערך זמינים - </t>
  </si>
  <si>
    <t xml:space="preserve">שחזור מחיר המניה ליום הרכישה -  </t>
  </si>
  <si>
    <t>קרן ההון ברוטו ממס - 1/1/11 -</t>
  </si>
  <si>
    <t xml:space="preserve">מחיר המניה עלה ב-3 עד 1/1/11 - </t>
  </si>
  <si>
    <t>אזי מחיר המניה נכון לתאריך 1/1/10 הינו -</t>
  </si>
  <si>
    <t xml:space="preserve">9 - 3 = </t>
  </si>
  <si>
    <t xml:space="preserve">תנועה בקרן הון </t>
  </si>
  <si>
    <t xml:space="preserve">מנק' מבט מקרוני </t>
  </si>
  <si>
    <t>מנק' מבט פסטה</t>
  </si>
  <si>
    <t xml:space="preserve">ח' הפסד </t>
  </si>
  <si>
    <t xml:space="preserve">התאמת מידיניות נדל"ן להשקעה - </t>
  </si>
  <si>
    <t xml:space="preserve">שינוי </t>
  </si>
  <si>
    <t xml:space="preserve">עסקה עם בעל שליטה - </t>
  </si>
  <si>
    <t xml:space="preserve">מכירה א' - </t>
  </si>
  <si>
    <t>רווח</t>
  </si>
  <si>
    <t>כפול 28.75%</t>
  </si>
  <si>
    <t xml:space="preserve">מכירה ב' - </t>
  </si>
  <si>
    <t xml:space="preserve">פדיון מניות בכורה - </t>
  </si>
  <si>
    <t>מכיוון שנפדו מעל לערכם הנקוב בתוספת דיבידנד שנצבר אזי יש להכיר בקיטון בהונה של מקרוני.</t>
  </si>
  <si>
    <t xml:space="preserve">ע.נ. בתוספת דיבידנד שנצבר - </t>
  </si>
  <si>
    <t>תמורת הפידיון</t>
  </si>
  <si>
    <t>כפול חלקי</t>
  </si>
  <si>
    <t xml:space="preserve">דיבידנדים - </t>
  </si>
  <si>
    <t>חולק 11,500</t>
  </si>
  <si>
    <t xml:space="preserve"> מ"ב צוברות</t>
  </si>
  <si>
    <t>P.N. מ"ב שאינן צוברות</t>
  </si>
  <si>
    <t>לא נשאר למניות הרגילות מכיוון שהדיבידנד של מניות הבכורה שאינן צוברות הינו גבוה מיתרת הדיבידנד לאחר קיזוז מ"ב הצוברות.</t>
  </si>
  <si>
    <t xml:space="preserve">חולק - </t>
  </si>
  <si>
    <t>P.N</t>
  </si>
  <si>
    <t>מניות רגילות</t>
  </si>
  <si>
    <t>מ"ב שאינן צוברות  - נפדו נכון ל31/12/13</t>
  </si>
  <si>
    <t xml:space="preserve">שחזור הרווח של מקרוני - </t>
  </si>
  <si>
    <t xml:space="preserve">תנועה בהון עצמי מקרוני - </t>
  </si>
  <si>
    <t>שייך לבעלי מניות הבכורה הצוברות</t>
  </si>
  <si>
    <t xml:space="preserve">ק.הון זמין למכירה </t>
  </si>
  <si>
    <t>מניות רגילות  - P.N</t>
  </si>
  <si>
    <t xml:space="preserve">דיבידנד </t>
  </si>
  <si>
    <t>רווח P.N</t>
  </si>
  <si>
    <t>פדיון מניות בכורה</t>
  </si>
  <si>
    <t xml:space="preserve">עסקה עם בעל שליטה </t>
  </si>
  <si>
    <t xml:space="preserve">רווח </t>
  </si>
  <si>
    <t>הסברים</t>
  </si>
  <si>
    <t>תנועה בחשבון השקעה בחברת יעל</t>
  </si>
  <si>
    <t>עלות 1/1/11</t>
  </si>
  <si>
    <t>רווחי אקוויטי</t>
  </si>
  <si>
    <t>הה"מ מלאי</t>
  </si>
  <si>
    <t>הה"מ מכונה 1-6/11</t>
  </si>
  <si>
    <t>ע.פ 2 יעל-דניאל מכונה א:</t>
  </si>
  <si>
    <t>א. הה"מ</t>
  </si>
  <si>
    <t>ב. דחייה</t>
  </si>
  <si>
    <t>מימוש ע.פ 2</t>
  </si>
  <si>
    <t>יתרה 31/12/11</t>
  </si>
  <si>
    <t>רווחי אקוויטי 1-10/12</t>
  </si>
  <si>
    <t>מימוש ע.פ 2 1-10/12</t>
  </si>
  <si>
    <t>ע.פ 3 יעל-טל מלאי</t>
  </si>
  <si>
    <t>מימוש ע.פ 3 1-6/12</t>
  </si>
  <si>
    <t>מימוש ע.פ 3- רווח הון (מכירת טל)</t>
  </si>
  <si>
    <t>מימוש ע.פ 3 7-10/12</t>
  </si>
  <si>
    <t>יתרה 31/10/12 לפני רכישה</t>
  </si>
  <si>
    <t>עלות 31/10/12</t>
  </si>
  <si>
    <t>רווחי אקוויטי 11-12/12</t>
  </si>
  <si>
    <t>מימוש ע.פ 2 11-12/12</t>
  </si>
  <si>
    <t>מימוש ע.פ 3 11-12/12</t>
  </si>
  <si>
    <t>יתרה 31/12/12</t>
  </si>
  <si>
    <t>יתרה 31/12/13</t>
  </si>
  <si>
    <t>חישוב הפרש מקורי</t>
  </si>
  <si>
    <t>שווי מאזני נרכש</t>
  </si>
  <si>
    <t>הפרש מקורי</t>
  </si>
  <si>
    <t>ייחוס הפרש מקורי</t>
  </si>
  <si>
    <t>מלאי</t>
  </si>
  <si>
    <t>מס נדחה</t>
  </si>
  <si>
    <t>מכונה א'</t>
  </si>
  <si>
    <t>(*)</t>
  </si>
  <si>
    <t>עסקה פנימית מכונה</t>
  </si>
  <si>
    <t>מדובר בעסקה פנימית של מכונה לה יוחס הפרש מקורי.</t>
  </si>
  <si>
    <t>נטפל העסקה בשני שלבים:</t>
  </si>
  <si>
    <t>א. הפחתת עודף עלות</t>
  </si>
  <si>
    <t>ב. דחיית העסקה הפנימית</t>
  </si>
  <si>
    <t>עלייה בשיעור החזקה</t>
  </si>
  <si>
    <t>ביום 31/10/12 רכשה דניאל בבורסה 700 מניות נוספות של יעל, כך ששיעור החזקה עולה ל- 37% = 10000/(3000+700)</t>
  </si>
  <si>
    <t>נחשב הפרש מקורי חדש:</t>
  </si>
  <si>
    <t xml:space="preserve">נשים לב שמכונה א' נמכרה בשנת 2013, לכן יש לממש את כל יתרת העסקה הפנימית בשנת 2013 </t>
  </si>
  <si>
    <t>(אין צורך להפריד בין המימוש בגין הפחת והמימוש בגין המכירה)</t>
  </si>
  <si>
    <t>תנועה בחשבון השקעה בחברת טל</t>
  </si>
  <si>
    <t>עלות</t>
  </si>
  <si>
    <t>הה"מ תלויה</t>
  </si>
  <si>
    <t>ע.פ 1 טל-דניאל מלאי</t>
  </si>
  <si>
    <t>רווחי אקוויטי 1-6/12</t>
  </si>
  <si>
    <t>ע.פ 4 טל-גולן רכב</t>
  </si>
  <si>
    <t>יתרה 30/6/12 לפני גריעה</t>
  </si>
  <si>
    <t>גריעה</t>
  </si>
  <si>
    <t>רווחי אקוויטי 7-12/12</t>
  </si>
  <si>
    <t>מימוש ע.פ 1</t>
  </si>
  <si>
    <t>מימוש ע.פ 4 7-12/12</t>
  </si>
  <si>
    <t>מימוש ע.פ 4- קצב הפחת</t>
  </si>
  <si>
    <t>מימוש ע.פ 4- הפסד הון (מכירת גולן)</t>
  </si>
  <si>
    <t>פקודות יומן לגריעת ההשקעה ביום 30/6/12</t>
  </si>
  <si>
    <t>גריעת ההשקעה:</t>
  </si>
  <si>
    <t>ח- מזומן</t>
  </si>
  <si>
    <t>ז- השקעה בטל</t>
  </si>
  <si>
    <t>ז- רווח הון</t>
  </si>
  <si>
    <t>מימוש עסקה פנימית 3</t>
  </si>
  <si>
    <t>ח- השקעה ביעל</t>
  </si>
  <si>
    <t>תלויה</t>
  </si>
  <si>
    <t>משא ומתן (*)</t>
  </si>
  <si>
    <t>הסבר על ייחוס ה"מ למשא ומתן</t>
  </si>
  <si>
    <t>לא מייחסים עודף עלות למשא ומתן עם לקוחות, שכן המשא ומתן לא עונה להגדרת נכס</t>
  </si>
  <si>
    <t>עסקה פנימית 1- מלאי</t>
  </si>
  <si>
    <t>נשים לב שכבר בשנת 2011 יש להכיר בירידת ערך מלאי, לפיכך כבר במועד העסקה</t>
  </si>
  <si>
    <t>הפנימית נתחשב בערך המלאי לאחר ירידת הערך:</t>
  </si>
  <si>
    <t>ערך המלאי מנקודת מבט חברת טל</t>
  </si>
  <si>
    <t>ערך המלאי מנקודת מבט חברת דניאל</t>
  </si>
  <si>
    <t>לפיכך הדחייה תהיה:</t>
  </si>
  <si>
    <t>עסקה פנימית 4- רכב</t>
  </si>
  <si>
    <t>העלות המופחתת של הרכב בספרי חברת טל היא 80000 = 8/10*100000</t>
  </si>
  <si>
    <t>ניתן לראות שתמורת העסקה הפנימית נמוכה מהעלות המופחתת ולכן יש לבדוק האם קיימים סימנים לירידת</t>
  </si>
  <si>
    <t>ערך, שכן אם תהיה ירידת ערך יתכן ולא נדרש לדחות את ההפסד. במקרה שלנו יש סימנים לירידת ערך, אולם</t>
  </si>
  <si>
    <t>יש לשים לב שהס.ב.ה גבוה מתמורת העסקה ולכן נדחה חלק מההפסד:</t>
  </si>
  <si>
    <t>ס.ב.ה</t>
  </si>
  <si>
    <t>תמורת העסקה</t>
  </si>
  <si>
    <t>גריעת השקעה</t>
  </si>
  <si>
    <t>כאשר גורעים את החלק הנמכר של ההשקעה יש לזכור שאסור לממש את שתי העסקאות הפנימיות, שכן בשתיהן</t>
  </si>
  <si>
    <t>הנכס נשוא העסקה הפנימית לא נמצא אצל חברת טל.</t>
  </si>
  <si>
    <t>מימוש עסקה פנימית 1 עקב ירידת ערך</t>
  </si>
  <si>
    <t>בשנת 2012 יש ירידת ערך נוספת של המלאי, כך שכעת השווי מימוש נטו הוא 32000. מנקודת מבט דניאל ערך</t>
  </si>
  <si>
    <t>המלאי הוא 32000 וכך גם מנקודת מבט טל ולכן יש לממש את כל העסקה הפנימית.</t>
  </si>
  <si>
    <t>מימוש עסקה פנימית 4 עקב מכירת גולן</t>
  </si>
  <si>
    <t>ביום 31/8/13 נמכרו 15% מחברת גולן ויישמנו את גישת המעברים, כך שלמעשה מבחינה חשבונאית כאילו מכרנו את</t>
  </si>
  <si>
    <t>חברת גולן. לפיכך, יש לממש את כל מלוא יתרת העסקה הפנימית שכן הנכס נשוא העסקה הפנימית נמצא אצל גולן.</t>
  </si>
  <si>
    <t>עלות 1/4/12</t>
  </si>
  <si>
    <t>רווחי אקוויטי 4-12/12</t>
  </si>
  <si>
    <t>ע.פ 5 גולן-דניאל ציוד</t>
  </si>
  <si>
    <t>ע.פ 6 גולן-יעל מלאי</t>
  </si>
  <si>
    <t>רווחי אקוויטי 1-8/13</t>
  </si>
  <si>
    <t>מימוש ע.פ 5</t>
  </si>
  <si>
    <t>מימוש ע.פ 6</t>
  </si>
  <si>
    <t>יתרה 31/8/13 לפני מכירה</t>
  </si>
  <si>
    <t>ביטול ע.פ 6</t>
  </si>
  <si>
    <t>פקודות יומן לגריעת ההשקעה ביום 31/8/13</t>
  </si>
  <si>
    <t>ז- השקעה בגולן</t>
  </si>
  <si>
    <t>ח- השקעה IAS39</t>
  </si>
  <si>
    <t>מימוש עסקה פנימית 6</t>
  </si>
  <si>
    <t>ח- השקעה בגולן</t>
  </si>
  <si>
    <t>ז- ציוד</t>
  </si>
  <si>
    <t>ח- מס נדחה</t>
  </si>
  <si>
    <t>מימוש עסקה פנימית 4</t>
  </si>
  <si>
    <t>ח- הפסד הון</t>
  </si>
  <si>
    <t>הטבות לעובדים (*)</t>
  </si>
  <si>
    <t>הסבר על ייחוס ה"מ להטבות לעובדים</t>
  </si>
  <si>
    <t>תקן IFRS3 קובע כי כחריג למדידת ההפרש המקורי, כי יש למדוד במועד הרכישה את ההטבות לעובדים</t>
  </si>
  <si>
    <t>לפי הוראות IAS19. מכיוון שההטבות לעובדים נמדדות גם בספרי גולן לפי הוראות IAS19 אין צורך ליצור</t>
  </si>
  <si>
    <t>הפרש מקורי.</t>
  </si>
  <si>
    <t>עסקה פנימית מלאי</t>
  </si>
  <si>
    <t>מדובר בעסקה פנימית של מלאי לו יוחס הפרש מקורי. העובדה כי מדובר בעסקה בין חברות כלולות לא</t>
  </si>
  <si>
    <t>משפיעה על שיטת העבודה, פרט לכך שבדחיית העסקה הפנימית נכפול במכפלת שיעורי האחזקה.</t>
  </si>
  <si>
    <t>שאלה מספר 3 - 25 נקודות</t>
  </si>
  <si>
    <t>נדרש 1- תנועה בחשבון ההשקעה אהוד - ליאור</t>
  </si>
  <si>
    <t>עלות 1.7.10 (1)</t>
  </si>
  <si>
    <t>אקויטי 7-12/10</t>
  </si>
  <si>
    <t>100000*6/12*0.4=</t>
  </si>
  <si>
    <t>ה.ע.ע 7-12/10 (1)</t>
  </si>
  <si>
    <t>התאמת מדיניות  נדל"ן (2)</t>
  </si>
  <si>
    <t>התאמת מדיניות מכונה א' (3)</t>
  </si>
  <si>
    <t>יתרה 31.12.10 (4)</t>
  </si>
  <si>
    <t>תיקון רטרו (5)</t>
  </si>
  <si>
    <t>יתרה 1.1.11 (6)</t>
  </si>
  <si>
    <t>אקויטי 1-3/11</t>
  </si>
  <si>
    <t>100000*3/12*0.4=</t>
  </si>
  <si>
    <t>ה.ע.ע 1-3/11 (1)</t>
  </si>
  <si>
    <t>התאמת מדיניות  נדל"ן (7)</t>
  </si>
  <si>
    <t>התאמת מדיניות מכונה א' (8)</t>
  </si>
  <si>
    <t>יתרה 31.3.11 (9)</t>
  </si>
  <si>
    <t>הנפקה (10)</t>
  </si>
  <si>
    <t>יתרה 1.4.11 (10)</t>
  </si>
  <si>
    <t>0.32*(138613/0.4+280000)=</t>
  </si>
  <si>
    <t>אקויטי 4-9/11</t>
  </si>
  <si>
    <t>100000*6/12*0.32=</t>
  </si>
  <si>
    <t>ה.ע.ע 4-9/11 (1)</t>
  </si>
  <si>
    <t>התאמת מדיניות  נדל"ן (11)</t>
  </si>
  <si>
    <t>התאמת מדיניות מכונה א' (12)</t>
  </si>
  <si>
    <t>יתרה 30.9.11 (13)</t>
  </si>
  <si>
    <t>עלות נוספת - הנפקה (14)</t>
  </si>
  <si>
    <t>480000*0.6=</t>
  </si>
  <si>
    <t>אקויטי 10-12/11</t>
  </si>
  <si>
    <t>100000*3/12*0.425=</t>
  </si>
  <si>
    <t>ה.ע.ע 10-12/11</t>
  </si>
  <si>
    <t>התאמת מדיניות  נדל"ן (15)</t>
  </si>
  <si>
    <t xml:space="preserve">התאמת מדיניות מכונה א' </t>
  </si>
  <si>
    <t xml:space="preserve">יתרה 31.12.11 </t>
  </si>
  <si>
    <t>הסברים:</t>
  </si>
  <si>
    <t>1)</t>
  </si>
  <si>
    <t>חישוב עודף עלות:</t>
  </si>
  <si>
    <t xml:space="preserve">תמורה </t>
  </si>
  <si>
    <t>* מכיוון שההון העצמי איננו נתון עלינו להשלימו ע"י שחזור קרן השערוך הקיימת בחברת ליאור.</t>
  </si>
  <si>
    <t>שווי נרכש*</t>
  </si>
  <si>
    <t>0.4*175750=</t>
  </si>
  <si>
    <t>עודפים</t>
  </si>
  <si>
    <t>עודף עלות</t>
  </si>
  <si>
    <t>פרמיה</t>
  </si>
  <si>
    <t>קרן שערוך, נטו</t>
  </si>
  <si>
    <t>(220000-250000*6.5/8)*0.65</t>
  </si>
  <si>
    <t>חישוב הון מתוקן</t>
  </si>
  <si>
    <t>הון מחושב</t>
  </si>
  <si>
    <t>מדיניות מכונה</t>
  </si>
  <si>
    <t>(250000*6.5/8-220000)*0.65</t>
  </si>
  <si>
    <t>מדיניות נדל"ן:</t>
  </si>
  <si>
    <t>בניין</t>
  </si>
  <si>
    <t>(300000*13.25/15-320000)*0.65=</t>
  </si>
  <si>
    <t>קרקע</t>
  </si>
  <si>
    <t>(150000-160000)*0.85=</t>
  </si>
  <si>
    <t>סה"כ הון מתוקן</t>
  </si>
  <si>
    <t>תיקון</t>
  </si>
  <si>
    <t>יתרה</t>
  </si>
  <si>
    <t>ייחוס עודף עלות</t>
  </si>
  <si>
    <t>1.7.10</t>
  </si>
  <si>
    <t>7-12/10</t>
  </si>
  <si>
    <t>31.12.10</t>
  </si>
  <si>
    <t>רטרו</t>
  </si>
  <si>
    <t>1-3/11</t>
  </si>
  <si>
    <t>31.3.11</t>
  </si>
  <si>
    <t>1.4.11</t>
  </si>
  <si>
    <t>4-9/11</t>
  </si>
  <si>
    <t>30.9.11</t>
  </si>
  <si>
    <t>10-12/11</t>
  </si>
  <si>
    <t>31.12.11</t>
  </si>
  <si>
    <t>(220000-250000*6.5/8)*0.4=</t>
  </si>
  <si>
    <t>מסים נדחים</t>
  </si>
  <si>
    <t>4154/5*0.3+4154*4/5*0.25</t>
  </si>
  <si>
    <t xml:space="preserve">בניין </t>
  </si>
  <si>
    <t>(320000-300000*13.25/15)*0.4=</t>
  </si>
  <si>
    <t>15608/11.75*0.3+15608*10.75/11.75*0.25</t>
  </si>
  <si>
    <t>(160000-150000)*0.4=</t>
  </si>
  <si>
    <t>תביעה המשפטית</t>
  </si>
  <si>
    <t>(15000-42000)*0.4=</t>
  </si>
  <si>
    <t>מס נדחה  - ה. להעברה</t>
  </si>
  <si>
    <t>2)</t>
  </si>
  <si>
    <t>התאמת מדיניות נדל"ן להשקעה 31.12.10</t>
  </si>
  <si>
    <t xml:space="preserve">חברת ליאור רשמה בספריה ירידת ערך של </t>
  </si>
  <si>
    <t>480000-400000=</t>
  </si>
  <si>
    <t>מבחינת חברה אהוד צ"ל הוצאות פחת של</t>
  </si>
  <si>
    <t>300000/15*0.5=</t>
  </si>
  <si>
    <t xml:space="preserve">יש להגדיל רווח </t>
  </si>
  <si>
    <t>בניכוי מס</t>
  </si>
  <si>
    <t>חלקה של אהוד</t>
  </si>
  <si>
    <t>3)</t>
  </si>
  <si>
    <t>התאמת מדיניות מכונה</t>
  </si>
  <si>
    <t>רווח והפסד</t>
  </si>
  <si>
    <t>קרן שערוך 31.12.10 - חברת ליאור</t>
  </si>
  <si>
    <t>חברת ליאור רשמה הוצאות פחת של</t>
  </si>
  <si>
    <t>220000*0.5/6.5=</t>
  </si>
  <si>
    <t>250000*0.5/8=</t>
  </si>
  <si>
    <t>פנקסני</t>
  </si>
  <si>
    <t>220000*6/6.5=</t>
  </si>
  <si>
    <t>שערוך</t>
  </si>
  <si>
    <t>4)</t>
  </si>
  <si>
    <t>הרכב חשבון השקעה 31.12.10 (דוחות 2010)</t>
  </si>
  <si>
    <t>חלק בשווי</t>
  </si>
  <si>
    <t>0.4*(230969+100000*6/12+4500)=</t>
  </si>
  <si>
    <t>הסכום כולל קרן שערוך של מכונה</t>
  </si>
  <si>
    <t>יתרת עודפי עלות:</t>
  </si>
  <si>
    <t>0.4*(220000-250000*6.5/8)*6/6.5=</t>
  </si>
  <si>
    <t>0.4*(320000-300000*13.25/15)*12.75/13.25=</t>
  </si>
  <si>
    <t>0.4*(160000-150000)=</t>
  </si>
  <si>
    <t>0.4*(23000-42000)=</t>
  </si>
  <si>
    <t xml:space="preserve">התאמת מדיניות נדל"ן - בניין </t>
  </si>
  <si>
    <t>0.4*(300000*12.75/15-240000)*0.65=</t>
  </si>
  <si>
    <t>התאמת מדיניות נדל"ן - קרקע</t>
  </si>
  <si>
    <t>0.4*(150000-160000)*0.85=</t>
  </si>
  <si>
    <t>(250000*6/8-210000)*0.65*0.4=</t>
  </si>
  <si>
    <t>בדיקה</t>
  </si>
  <si>
    <t>5)</t>
  </si>
  <si>
    <t>תיקון רטרו - הפסדים להעברה</t>
  </si>
  <si>
    <t>מכיוון שבנתוני השאלה נאמר כי המידע שופך אור על נסיבות שהיו קיימות למועד הרכישה, נדרש לבצע תיקון רטרו ע"ס של 30,000 ₪ = 0.15* 200,000.</t>
  </si>
  <si>
    <t>אולם, אם נבצע את התיקון במלואו יווצר לנו מוניטין שלילי ע"ס של 20,167 = 30,000-9,833.</t>
  </si>
  <si>
    <t>התקן קובע שעלינו לבצע תיקון עד לאיפס המוניטין. לפיכך התיקון צריך להיות ע"ס 9,833 ₪.</t>
  </si>
  <si>
    <t>במהלך חודש מרץ 2011 יש להפחית את את מלוא ההפרש המקורי בגין ההפסד להעברה, מכיוון שחברת ליאור יצרה אצלה בספריה מס נדחה.</t>
  </si>
  <si>
    <t>6)</t>
  </si>
  <si>
    <t>נדרש 2- הרכב חשבון השקעה 31.12.10 (דוחות 2011)</t>
  </si>
  <si>
    <t>התאמת מדיניות נדל"ן</t>
  </si>
  <si>
    <t>7)</t>
  </si>
  <si>
    <t>התאמת מדיניות נדל"ן להשקעה 31.3.11</t>
  </si>
  <si>
    <t>400000-380000=</t>
  </si>
  <si>
    <t>300000/15*0.25=</t>
  </si>
  <si>
    <t>8)</t>
  </si>
  <si>
    <t>קרן שערוך 31.3.11 - חברת ליאור</t>
  </si>
  <si>
    <t>210000*0.25/6=</t>
  </si>
  <si>
    <t>250000*0.25/8=</t>
  </si>
  <si>
    <t>210000*5.75/6=</t>
  </si>
  <si>
    <t>9)</t>
  </si>
  <si>
    <t>הרכב חשבון השקעה 31.3.11</t>
  </si>
  <si>
    <t>0.4*(285469+100000*3/12+25188)=</t>
  </si>
  <si>
    <t>0.4*(220000-250000*6.5/8)*5.75/6.5=</t>
  </si>
  <si>
    <t>0.4*(320000-300000*13.25/15)*12.5/13.25=</t>
  </si>
  <si>
    <t>0.4*(300000*12.5/15-220000)*0.65=</t>
  </si>
  <si>
    <t>(250000*5.75/8-240000)*0.65*0.4=</t>
  </si>
  <si>
    <t>10)</t>
  </si>
  <si>
    <t>הנפקת מניות חברת ליאור</t>
  </si>
  <si>
    <t>ביום 1.4.11 הנפיקה חברת ליאור 10,000 מניות. חברת אהוד רכשה במסגרת ההנפקה 20%.</t>
  </si>
  <si>
    <t>עלינו לבדוק מהו שיעור ההחזקה לאחר ההנפקה</t>
  </si>
  <si>
    <t>ישנה ירידה בשיעור ההחזקה מ 40% ל -</t>
  </si>
  <si>
    <t>0.4*15000+10000*0.2=</t>
  </si>
  <si>
    <t>150000+10000</t>
  </si>
  <si>
    <t>חישוב הרכב חשבון השקעה לאחר הנפקה 1.4.11</t>
  </si>
  <si>
    <t>0.32*(335657+280000)=</t>
  </si>
  <si>
    <t>5971*0.32/0.4=</t>
  </si>
  <si>
    <t>20755*0.32/0.4=</t>
  </si>
  <si>
    <t>4000*0.32/0.4=</t>
  </si>
  <si>
    <t>7600*0.32/0.4=</t>
  </si>
  <si>
    <t>0.32*(300000*12.5/15-220000)*0.65=</t>
  </si>
  <si>
    <t>0.32*(150000-160000)*0.85=</t>
  </si>
  <si>
    <t>התאמת מדיניות מכונה א'</t>
  </si>
  <si>
    <t>(250000*5.75/8-240000)*0.65*0.32=</t>
  </si>
  <si>
    <t>נדרש 4 - פקודת יומן הנפקה 1.4.11</t>
  </si>
  <si>
    <t>חובה</t>
  </si>
  <si>
    <t>זכות</t>
  </si>
  <si>
    <t>השקעה</t>
  </si>
  <si>
    <t>מזומן</t>
  </si>
  <si>
    <t>280000*0.2=</t>
  </si>
  <si>
    <t>רווח הון</t>
  </si>
  <si>
    <t>11)</t>
  </si>
  <si>
    <t>התאמת מדיניות נדל"ן להשקעה 30.9.11</t>
  </si>
  <si>
    <t xml:space="preserve">חברת ליאור רשמה בספריה עליית ערך של </t>
  </si>
  <si>
    <t>430000-380000=</t>
  </si>
  <si>
    <t xml:space="preserve">יש להגדיל להקטין רווח </t>
  </si>
  <si>
    <t>12)</t>
  </si>
  <si>
    <t>קרן שערוך 30.9.11 - חברת ליאור</t>
  </si>
  <si>
    <t>240000*0.5/5.75=</t>
  </si>
  <si>
    <t>כמו כן, חברת ליאור רשמה ירידת ערך (רוו"ה)</t>
  </si>
  <si>
    <t>240000*5.25/5.75=</t>
  </si>
  <si>
    <t>עלינו לבדוק האם מבחינת חברת ליאור קיימת ירידת ערך כנגד רווח והפסד.</t>
  </si>
  <si>
    <t>נבצע השוואה בין העלות המופחתת המקורית של המכונה לבין השווי ההוגן</t>
  </si>
  <si>
    <t>ע"מ מקורית</t>
  </si>
  <si>
    <t>קיימת ירידת ערך כנגד רווח והפסד.</t>
  </si>
  <si>
    <t>כתוצאה מכך חברת ליאור מאפסת את קרן השערוך שהייתה קיימת בספריה רגע לפני השערוך.</t>
  </si>
  <si>
    <t>מצ"ב חישוב של קרן השערוך (ברוטו) לפני האיפוס</t>
  </si>
  <si>
    <t>(240000-250000*5.75/8)*5.25/5.75=</t>
  </si>
  <si>
    <t>ההפסד שנזקף לרווח והפסד נמשך אוטומטית ע"י חברת אהוד במסגרת רווחי אקויטי.</t>
  </si>
  <si>
    <t>13)</t>
  </si>
  <si>
    <t>הרכב חשבון השקעה 30.9.11</t>
  </si>
  <si>
    <t>0.32*(615657+100000*6/12-0.65*55068)=</t>
  </si>
  <si>
    <t>5971*0.32/0.4*(5.25/5.75)=</t>
  </si>
  <si>
    <t>20755*0.32/0.4*(12/12.5)=</t>
  </si>
  <si>
    <t>0.32*(300000*12/15-270000)*0.65=</t>
  </si>
  <si>
    <t>(250000*5.25/8-150000)*0.65*0.32=</t>
  </si>
  <si>
    <t>14)</t>
  </si>
  <si>
    <t>ביום 1.10.11 הנפיקה חברת ליאור 17,000 מניות. חברת אהוד רכשה במסגרת ההנפקה 60%.</t>
  </si>
  <si>
    <t>עלינו לבדוק מהו שיעור ההחזקה לאחר ההנפקה :</t>
  </si>
  <si>
    <t>8000+0.6*15000=</t>
  </si>
  <si>
    <t>25000+15000</t>
  </si>
  <si>
    <t xml:space="preserve">מסקנה ישנה עלייה בשיעור ההחזקה של </t>
  </si>
  <si>
    <t>לפיכך עלינו לחשב עודף עלות נוסף.</t>
  </si>
  <si>
    <t xml:space="preserve">עלינו למצוא את ההון המתוקן : </t>
  </si>
  <si>
    <t>(201556-6240-2720+2925)/0.32=</t>
  </si>
  <si>
    <t>* שווי נרכש</t>
  </si>
  <si>
    <t>חלק בשווי לפני</t>
  </si>
  <si>
    <t>611003*0.32=</t>
  </si>
  <si>
    <t>חלק בשווי אחרי</t>
  </si>
  <si>
    <t>0.425*(611003+480000)=</t>
  </si>
  <si>
    <t>ייחוס עודף עלות 2 :</t>
  </si>
  <si>
    <t>1.10.11</t>
  </si>
  <si>
    <t>0.105*(150000-250000*5.25/8)=</t>
  </si>
  <si>
    <t>1406/5*0.3+1406*4/5*0.25</t>
  </si>
  <si>
    <t>0.105*(270000-300000*12/15)=</t>
  </si>
  <si>
    <t>3084/11.75*0.3+3084*10.75/11.75*0.25</t>
  </si>
  <si>
    <t>0.105*(160000-150000)=</t>
  </si>
  <si>
    <t>0.105*(23000-50000)=</t>
  </si>
  <si>
    <t>15)</t>
  </si>
  <si>
    <t>התאמת מדיניות נדל"ן להשקעה (בניין) 31.12.11</t>
  </si>
  <si>
    <t>יתרה 1.10.11</t>
  </si>
  <si>
    <t>0.425*(300000*12/15-270000)*0.65=</t>
  </si>
  <si>
    <t>יתרה 31.12.11</t>
  </si>
  <si>
    <t>0.425*(300000*11.75/15-300000)*(1/11.75*0.7+10.75/11.75*0.75)=</t>
  </si>
  <si>
    <t>16)</t>
  </si>
  <si>
    <t>י.פ 1.10.11</t>
  </si>
  <si>
    <t>(250000*5.25/8-150000)*0.65*0.425=</t>
  </si>
  <si>
    <t>שינוי רווח והפסד PN</t>
  </si>
  <si>
    <t>ביטול שנה קודמת</t>
  </si>
  <si>
    <t>שינוי קרן שערוך</t>
  </si>
  <si>
    <t>150000*5/5.25=</t>
  </si>
  <si>
    <t>י.ס 31.12.11</t>
  </si>
  <si>
    <t>(250000*5/8-180000)*0.425*(0.7/5+4/5*0.75)=</t>
  </si>
  <si>
    <t>עליית ערך</t>
  </si>
  <si>
    <t>מכיוון שבתקופה קודמת חברת ליאור רשמה ירידת ערך כנגד רווח והפסד ובתקופה הנוכחית ישנה עלייה</t>
  </si>
  <si>
    <t>עלינו לבדוק כנגד מה יש לזקוף את עליית הערך.</t>
  </si>
  <si>
    <t>קרן שערוך</t>
  </si>
  <si>
    <t>23750*(0.7/5+4/5*0.75)</t>
  </si>
  <si>
    <t>היתרה תזקף לרווח והפסד.</t>
  </si>
  <si>
    <t>17)</t>
  </si>
  <si>
    <t>הרכב חשבון השקעה 31.12.11</t>
  </si>
  <si>
    <t>0.425*(629863+100000*3/12+17575+480000)=</t>
  </si>
  <si>
    <t>0.425*(150000-160000)*0.85=</t>
  </si>
  <si>
    <t>לא מהווה אירוע חייב במס</t>
  </si>
  <si>
    <t>ולכן אין יצירת מסים נדחים</t>
  </si>
  <si>
    <t>נתון בשאלה כי העסקה פטורה ממס</t>
  </si>
  <si>
    <t>שייך לבעלי מניות בכורה לא צוברות ששולם להם דיבידנד במהלך השנה</t>
  </si>
  <si>
    <t>הפסד אקוויטי</t>
  </si>
  <si>
    <t>ז' השקעה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</si>
</sst>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(#,##0\)_ ;_ * &quot;-&quot;_ ;_ @_ "/>
    <numFmt numFmtId="165" formatCode="_ * #,##0_ ;_ * \-#,##0_ ;_ * &quot;-&quot;??_ ;_ @_ "/>
    <numFmt numFmtId="166" formatCode="0.0%"/>
  </numFmts>
  <fonts count="20">
    <font>
      <sz val="11"/>
      <color theme="1"/>
      <name val="Arial"/>
      <family val="2"/>
      <charset val="177"/>
      <scheme val="minor"/>
    </font>
    <font>
      <u/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u val="singleAccounting"/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Arial"/>
      <charset val="177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charset val="177"/>
    </font>
    <font>
      <u/>
      <sz val="10"/>
      <name val="Arial"/>
      <family val="2"/>
    </font>
    <font>
      <b/>
      <sz val="9"/>
      <color theme="1"/>
      <name val="Arial"/>
      <family val="2"/>
      <scheme val="minor"/>
    </font>
    <font>
      <b/>
      <u/>
      <sz val="9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i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 readingOrder="2"/>
    </xf>
    <xf numFmtId="164" fontId="0" fillId="0" borderId="0" xfId="0" applyNumberFormat="1"/>
    <xf numFmtId="0" fontId="2" fillId="0" borderId="0" xfId="0" applyFont="1"/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165" fontId="0" fillId="0" borderId="0" xfId="1" applyNumberFormat="1" applyFont="1"/>
    <xf numFmtId="165" fontId="0" fillId="0" borderId="1" xfId="1" applyNumberFormat="1" applyFont="1" applyBorder="1"/>
    <xf numFmtId="14" fontId="0" fillId="0" borderId="0" xfId="0" applyNumberFormat="1"/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0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" xfId="0" applyNumberFormat="1" applyBorder="1"/>
    <xf numFmtId="1" fontId="0" fillId="0" borderId="0" xfId="0" applyNumberFormat="1"/>
    <xf numFmtId="0" fontId="5" fillId="0" borderId="11" xfId="0" applyFont="1" applyBorder="1"/>
    <xf numFmtId="14" fontId="5" fillId="0" borderId="11" xfId="0" applyNumberFormat="1" applyFont="1" applyBorder="1"/>
    <xf numFmtId="0" fontId="0" fillId="0" borderId="11" xfId="0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0" borderId="1" xfId="0" applyBorder="1" applyAlignment="1">
      <alignment horizontal="center"/>
    </xf>
    <xf numFmtId="165" fontId="0" fillId="0" borderId="0" xfId="0" applyNumberFormat="1"/>
    <xf numFmtId="1" fontId="0" fillId="0" borderId="1" xfId="0" applyNumberFormat="1" applyBorder="1"/>
    <xf numFmtId="10" fontId="0" fillId="0" borderId="0" xfId="0" applyNumberFormat="1"/>
    <xf numFmtId="165" fontId="0" fillId="0" borderId="2" xfId="1" applyNumberFormat="1" applyFont="1" applyBorder="1"/>
    <xf numFmtId="0" fontId="7" fillId="0" borderId="0" xfId="2" applyFont="1" applyAlignment="1">
      <alignment horizontal="center"/>
    </xf>
    <xf numFmtId="0" fontId="6" fillId="0" borderId="0" xfId="2"/>
    <xf numFmtId="0" fontId="8" fillId="0" borderId="0" xfId="2" applyFont="1" applyAlignment="1">
      <alignment horizontal="center"/>
    </xf>
    <xf numFmtId="0" fontId="6" fillId="0" borderId="0" xfId="2" applyAlignment="1">
      <alignment horizontal="center"/>
    </xf>
    <xf numFmtId="1" fontId="6" fillId="0" borderId="0" xfId="2" applyNumberForma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applyNumberFormat="1" applyFont="1" applyAlignment="1">
      <alignment horizontal="center"/>
    </xf>
    <xf numFmtId="1" fontId="8" fillId="0" borderId="0" xfId="2" applyNumberFormat="1" applyFont="1" applyAlignment="1">
      <alignment horizontal="center"/>
    </xf>
    <xf numFmtId="0" fontId="6" fillId="0" borderId="0" xfId="2" applyAlignment="1">
      <alignment horizontal="right"/>
    </xf>
    <xf numFmtId="0" fontId="6" fillId="0" borderId="0" xfId="2" applyAlignment="1"/>
    <xf numFmtId="1" fontId="6" fillId="0" borderId="0" xfId="2" applyNumberFormat="1"/>
    <xf numFmtId="0" fontId="10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readingOrder="2"/>
    </xf>
    <xf numFmtId="0" fontId="1" fillId="0" borderId="0" xfId="0" applyFont="1" applyAlignment="1">
      <alignment horizontal="right"/>
    </xf>
    <xf numFmtId="3" fontId="5" fillId="0" borderId="0" xfId="0" applyNumberFormat="1" applyFont="1"/>
    <xf numFmtId="9" fontId="0" fillId="0" borderId="0" xfId="0" applyNumberFormat="1" applyAlignment="1">
      <alignment horizontal="center"/>
    </xf>
    <xf numFmtId="0" fontId="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3" fontId="12" fillId="4" borderId="0" xfId="0" applyNumberFormat="1" applyFont="1" applyFill="1" applyAlignment="1">
      <alignment horizontal="center"/>
    </xf>
    <xf numFmtId="49" fontId="12" fillId="4" borderId="0" xfId="0" applyNumberFormat="1" applyFont="1" applyFill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3" fontId="0" fillId="0" borderId="0" xfId="0" applyNumberFormat="1" applyFill="1"/>
    <xf numFmtId="0" fontId="0" fillId="0" borderId="0" xfId="0" applyFill="1"/>
    <xf numFmtId="3" fontId="0" fillId="0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3" fontId="0" fillId="3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9" fontId="17" fillId="0" borderId="2" xfId="0" applyNumberFormat="1" applyFont="1" applyBorder="1" applyAlignment="1">
      <alignment horizontal="center"/>
    </xf>
    <xf numFmtId="0" fontId="2" fillId="3" borderId="0" xfId="0" applyFont="1" applyFill="1"/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8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/>
    <xf numFmtId="166" fontId="0" fillId="0" borderId="0" xfId="0" applyNumberFormat="1"/>
    <xf numFmtId="0" fontId="1" fillId="0" borderId="0" xfId="0" applyFont="1" applyAlignment="1">
      <alignment horizontal="right" readingOrder="2"/>
    </xf>
    <xf numFmtId="0" fontId="2" fillId="4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2" applyFill="1" applyAlignment="1">
      <alignment horizontal="center"/>
    </xf>
    <xf numFmtId="1" fontId="6" fillId="0" borderId="0" xfId="2" applyNumberFormat="1" applyFill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0" fillId="5" borderId="0" xfId="0" applyFill="1"/>
    <xf numFmtId="1" fontId="0" fillId="0" borderId="0" xfId="0" applyNumberFormat="1" applyFill="1"/>
    <xf numFmtId="165" fontId="0" fillId="0" borderId="0" xfId="1" applyNumberFormat="1" applyFont="1" applyFill="1"/>
    <xf numFmtId="165" fontId="0" fillId="0" borderId="1" xfId="1" applyNumberFormat="1" applyFont="1" applyFill="1" applyBorder="1"/>
    <xf numFmtId="0" fontId="19" fillId="0" borderId="0" xfId="0" applyFont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5" fillId="2" borderId="11" xfId="0" applyFont="1" applyFill="1" applyBorder="1" applyAlignment="1">
      <alignment horizontal="center"/>
    </xf>
    <xf numFmtId="165" fontId="0" fillId="0" borderId="0" xfId="1" applyNumberFormat="1" applyFont="1" applyBorder="1"/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742949</xdr:colOff>
      <xdr:row>30</xdr:row>
      <xdr:rowOff>0</xdr:rowOff>
    </xdr:from>
    <xdr:to>
      <xdr:col>7</xdr:col>
      <xdr:colOff>85725</xdr:colOff>
      <xdr:row>33</xdr:row>
      <xdr:rowOff>0</xdr:rowOff>
    </xdr:to>
    <xdr:cxnSp macro="">
      <xdr:nvCxnSpPr>
        <xdr:cNvPr id="2" name="מחבר חץ ישר 1"/>
        <xdr:cNvCxnSpPr/>
      </xdr:nvCxnSpPr>
      <xdr:spPr>
        <a:xfrm flipH="1">
          <a:off x="11231394225" y="5438775"/>
          <a:ext cx="923926" cy="552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30</xdr:row>
      <xdr:rowOff>38100</xdr:rowOff>
    </xdr:from>
    <xdr:to>
      <xdr:col>5</xdr:col>
      <xdr:colOff>361950</xdr:colOff>
      <xdr:row>33</xdr:row>
      <xdr:rowOff>9525</xdr:rowOff>
    </xdr:to>
    <xdr:cxnSp macro="">
      <xdr:nvCxnSpPr>
        <xdr:cNvPr id="3" name="מחבר חץ ישר 2"/>
        <xdr:cNvCxnSpPr/>
      </xdr:nvCxnSpPr>
      <xdr:spPr>
        <a:xfrm flipH="1">
          <a:off x="11232699150" y="5476875"/>
          <a:ext cx="9525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30</xdr:row>
      <xdr:rowOff>9525</xdr:rowOff>
    </xdr:from>
    <xdr:to>
      <xdr:col>5</xdr:col>
      <xdr:colOff>28575</xdr:colOff>
      <xdr:row>32</xdr:row>
      <xdr:rowOff>161925</xdr:rowOff>
    </xdr:to>
    <xdr:cxnSp macro="">
      <xdr:nvCxnSpPr>
        <xdr:cNvPr id="4" name="מחבר חץ ישר 3"/>
        <xdr:cNvCxnSpPr/>
      </xdr:nvCxnSpPr>
      <xdr:spPr>
        <a:xfrm>
          <a:off x="11233032525" y="5448300"/>
          <a:ext cx="1866900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44</xdr:row>
      <xdr:rowOff>104775</xdr:rowOff>
    </xdr:from>
    <xdr:to>
      <xdr:col>10</xdr:col>
      <xdr:colOff>657225</xdr:colOff>
      <xdr:row>46</xdr:row>
      <xdr:rowOff>9526</xdr:rowOff>
    </xdr:to>
    <xdr:cxnSp macro="">
      <xdr:nvCxnSpPr>
        <xdr:cNvPr id="5" name="מחבר חץ ישר 4"/>
        <xdr:cNvCxnSpPr/>
      </xdr:nvCxnSpPr>
      <xdr:spPr>
        <a:xfrm flipH="1" flipV="1">
          <a:off x="11228631975" y="8105775"/>
          <a:ext cx="2847975" cy="2667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152</xdr:row>
      <xdr:rowOff>28575</xdr:rowOff>
    </xdr:from>
    <xdr:to>
      <xdr:col>5</xdr:col>
      <xdr:colOff>142875</xdr:colOff>
      <xdr:row>153</xdr:row>
      <xdr:rowOff>161925</xdr:rowOff>
    </xdr:to>
    <xdr:sp macro="" textlink="">
      <xdr:nvSpPr>
        <xdr:cNvPr id="6" name="סוגר מסולסל שמאלי 5"/>
        <xdr:cNvSpPr/>
      </xdr:nvSpPr>
      <xdr:spPr>
        <a:xfrm>
          <a:off x="11232918225" y="27603450"/>
          <a:ext cx="200025" cy="3143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>
    <xdr:from>
      <xdr:col>2</xdr:col>
      <xdr:colOff>323850</xdr:colOff>
      <xdr:row>169</xdr:row>
      <xdr:rowOff>95250</xdr:rowOff>
    </xdr:from>
    <xdr:to>
      <xdr:col>2</xdr:col>
      <xdr:colOff>942975</xdr:colOff>
      <xdr:row>169</xdr:row>
      <xdr:rowOff>95250</xdr:rowOff>
    </xdr:to>
    <xdr:cxnSp macro="">
      <xdr:nvCxnSpPr>
        <xdr:cNvPr id="7" name="מחבר חץ ישר 6"/>
        <xdr:cNvCxnSpPr/>
      </xdr:nvCxnSpPr>
      <xdr:spPr>
        <a:xfrm flipH="1">
          <a:off x="11234956575" y="30746700"/>
          <a:ext cx="619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170</xdr:row>
      <xdr:rowOff>123825</xdr:rowOff>
    </xdr:from>
    <xdr:to>
      <xdr:col>2</xdr:col>
      <xdr:colOff>981075</xdr:colOff>
      <xdr:row>170</xdr:row>
      <xdr:rowOff>133350</xdr:rowOff>
    </xdr:to>
    <xdr:cxnSp macro="">
      <xdr:nvCxnSpPr>
        <xdr:cNvPr id="8" name="מחבר חץ ישר 7"/>
        <xdr:cNvCxnSpPr/>
      </xdr:nvCxnSpPr>
      <xdr:spPr>
        <a:xfrm flipH="1" flipV="1">
          <a:off x="11234918475" y="30956250"/>
          <a:ext cx="5715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168</xdr:row>
      <xdr:rowOff>19050</xdr:rowOff>
    </xdr:from>
    <xdr:to>
      <xdr:col>3</xdr:col>
      <xdr:colOff>762000</xdr:colOff>
      <xdr:row>171</xdr:row>
      <xdr:rowOff>95250</xdr:rowOff>
    </xdr:to>
    <xdr:sp macro="" textlink="">
      <xdr:nvSpPr>
        <xdr:cNvPr id="9" name="סוגר מסולסל שמאלי 8"/>
        <xdr:cNvSpPr/>
      </xdr:nvSpPr>
      <xdr:spPr>
        <a:xfrm>
          <a:off x="11234146950" y="30489525"/>
          <a:ext cx="762000" cy="6191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>
    <xdr:from>
      <xdr:col>1</xdr:col>
      <xdr:colOff>590550</xdr:colOff>
      <xdr:row>180</xdr:row>
      <xdr:rowOff>95250</xdr:rowOff>
    </xdr:from>
    <xdr:to>
      <xdr:col>2</xdr:col>
      <xdr:colOff>981075</xdr:colOff>
      <xdr:row>180</xdr:row>
      <xdr:rowOff>114300</xdr:rowOff>
    </xdr:to>
    <xdr:cxnSp macro="">
      <xdr:nvCxnSpPr>
        <xdr:cNvPr id="10" name="מחבר חץ ישר 9"/>
        <xdr:cNvCxnSpPr/>
      </xdr:nvCxnSpPr>
      <xdr:spPr>
        <a:xfrm flipH="1" flipV="1">
          <a:off x="11234918475" y="32756475"/>
          <a:ext cx="13906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187</xdr:row>
      <xdr:rowOff>142875</xdr:rowOff>
    </xdr:from>
    <xdr:to>
      <xdr:col>3</xdr:col>
      <xdr:colOff>885825</xdr:colOff>
      <xdr:row>189</xdr:row>
      <xdr:rowOff>161925</xdr:rowOff>
    </xdr:to>
    <xdr:cxnSp macro="">
      <xdr:nvCxnSpPr>
        <xdr:cNvPr id="11" name="מחבר חץ ישר 10"/>
        <xdr:cNvCxnSpPr/>
      </xdr:nvCxnSpPr>
      <xdr:spPr>
        <a:xfrm flipH="1">
          <a:off x="11234023125" y="34070925"/>
          <a:ext cx="1114425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187</xdr:row>
      <xdr:rowOff>152400</xdr:rowOff>
    </xdr:from>
    <xdr:to>
      <xdr:col>2</xdr:col>
      <xdr:colOff>352425</xdr:colOff>
      <xdr:row>189</xdr:row>
      <xdr:rowOff>142875</xdr:rowOff>
    </xdr:to>
    <xdr:cxnSp macro="">
      <xdr:nvCxnSpPr>
        <xdr:cNvPr id="12" name="מחבר חץ ישר 11"/>
        <xdr:cNvCxnSpPr/>
      </xdr:nvCxnSpPr>
      <xdr:spPr>
        <a:xfrm>
          <a:off x="11235547125" y="34080450"/>
          <a:ext cx="104775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194</xdr:row>
      <xdr:rowOff>133350</xdr:rowOff>
    </xdr:from>
    <xdr:to>
      <xdr:col>5</xdr:col>
      <xdr:colOff>28575</xdr:colOff>
      <xdr:row>196</xdr:row>
      <xdr:rowOff>161925</xdr:rowOff>
    </xdr:to>
    <xdr:cxnSp macro="">
      <xdr:nvCxnSpPr>
        <xdr:cNvPr id="13" name="מחבר חץ ישר 12"/>
        <xdr:cNvCxnSpPr/>
      </xdr:nvCxnSpPr>
      <xdr:spPr>
        <a:xfrm flipH="1">
          <a:off x="11233032525" y="35347275"/>
          <a:ext cx="123825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194</xdr:row>
      <xdr:rowOff>152400</xdr:rowOff>
    </xdr:from>
    <xdr:to>
      <xdr:col>3</xdr:col>
      <xdr:colOff>323850</xdr:colOff>
      <xdr:row>197</xdr:row>
      <xdr:rowOff>0</xdr:rowOff>
    </xdr:to>
    <xdr:cxnSp macro="">
      <xdr:nvCxnSpPr>
        <xdr:cNvPr id="14" name="מחבר חץ ישר 13"/>
        <xdr:cNvCxnSpPr/>
      </xdr:nvCxnSpPr>
      <xdr:spPr>
        <a:xfrm flipH="1">
          <a:off x="11234585100" y="35366325"/>
          <a:ext cx="9525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195</xdr:row>
      <xdr:rowOff>19050</xdr:rowOff>
    </xdr:from>
    <xdr:to>
      <xdr:col>2</xdr:col>
      <xdr:colOff>962025</xdr:colOff>
      <xdr:row>196</xdr:row>
      <xdr:rowOff>161925</xdr:rowOff>
    </xdr:to>
    <xdr:cxnSp macro="">
      <xdr:nvCxnSpPr>
        <xdr:cNvPr id="15" name="מחבר חץ ישר 14"/>
        <xdr:cNvCxnSpPr/>
      </xdr:nvCxnSpPr>
      <xdr:spPr>
        <a:xfrm>
          <a:off x="11234937525" y="35413950"/>
          <a:ext cx="9239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895350</xdr:colOff>
      <xdr:row>204</xdr:row>
      <xdr:rowOff>9525</xdr:rowOff>
    </xdr:from>
    <xdr:to>
      <xdr:col>5</xdr:col>
      <xdr:colOff>733425</xdr:colOff>
      <xdr:row>207</xdr:row>
      <xdr:rowOff>28575</xdr:rowOff>
    </xdr:to>
    <xdr:cxnSp macro="">
      <xdr:nvCxnSpPr>
        <xdr:cNvPr id="16" name="מחבר חץ ישר 15"/>
        <xdr:cNvCxnSpPr/>
      </xdr:nvCxnSpPr>
      <xdr:spPr>
        <a:xfrm flipH="1" flipV="1">
          <a:off x="11232327675" y="37052250"/>
          <a:ext cx="1685925" cy="590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866773</xdr:colOff>
      <xdr:row>205</xdr:row>
      <xdr:rowOff>66675</xdr:rowOff>
    </xdr:from>
    <xdr:to>
      <xdr:col>6</xdr:col>
      <xdr:colOff>28575</xdr:colOff>
      <xdr:row>207</xdr:row>
      <xdr:rowOff>47626</xdr:rowOff>
    </xdr:to>
    <xdr:cxnSp macro="">
      <xdr:nvCxnSpPr>
        <xdr:cNvPr id="17" name="מחבר חץ ישר 16"/>
        <xdr:cNvCxnSpPr/>
      </xdr:nvCxnSpPr>
      <xdr:spPr>
        <a:xfrm flipH="1" flipV="1">
          <a:off x="11232203850" y="37299900"/>
          <a:ext cx="1838327" cy="3619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208</xdr:row>
      <xdr:rowOff>171450</xdr:rowOff>
    </xdr:from>
    <xdr:to>
      <xdr:col>6</xdr:col>
      <xdr:colOff>0</xdr:colOff>
      <xdr:row>211</xdr:row>
      <xdr:rowOff>95250</xdr:rowOff>
    </xdr:to>
    <xdr:cxnSp macro="">
      <xdr:nvCxnSpPr>
        <xdr:cNvPr id="18" name="מחבר חץ ישר 17"/>
        <xdr:cNvCxnSpPr/>
      </xdr:nvCxnSpPr>
      <xdr:spPr>
        <a:xfrm flipH="1" flipV="1">
          <a:off x="11232232425" y="37976175"/>
          <a:ext cx="196215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210</xdr:row>
      <xdr:rowOff>161925</xdr:rowOff>
    </xdr:from>
    <xdr:to>
      <xdr:col>6</xdr:col>
      <xdr:colOff>66675</xdr:colOff>
      <xdr:row>211</xdr:row>
      <xdr:rowOff>133350</xdr:rowOff>
    </xdr:to>
    <xdr:cxnSp macro="">
      <xdr:nvCxnSpPr>
        <xdr:cNvPr id="19" name="מחבר חץ ישר 18"/>
        <xdr:cNvCxnSpPr/>
      </xdr:nvCxnSpPr>
      <xdr:spPr>
        <a:xfrm flipH="1" flipV="1">
          <a:off x="11232165750" y="38328600"/>
          <a:ext cx="2019300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216</xdr:row>
      <xdr:rowOff>47626</xdr:rowOff>
    </xdr:from>
    <xdr:to>
      <xdr:col>6</xdr:col>
      <xdr:colOff>57150</xdr:colOff>
      <xdr:row>217</xdr:row>
      <xdr:rowOff>95250</xdr:rowOff>
    </xdr:to>
    <xdr:cxnSp macro="">
      <xdr:nvCxnSpPr>
        <xdr:cNvPr id="20" name="מחבר חץ ישר 19"/>
        <xdr:cNvCxnSpPr/>
      </xdr:nvCxnSpPr>
      <xdr:spPr>
        <a:xfrm flipH="1" flipV="1">
          <a:off x="11232175275" y="39319201"/>
          <a:ext cx="1866900" cy="2381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828674</xdr:colOff>
      <xdr:row>217</xdr:row>
      <xdr:rowOff>114300</xdr:rowOff>
    </xdr:from>
    <xdr:to>
      <xdr:col>6</xdr:col>
      <xdr:colOff>0</xdr:colOff>
      <xdr:row>218</xdr:row>
      <xdr:rowOff>85725</xdr:rowOff>
    </xdr:to>
    <xdr:cxnSp macro="">
      <xdr:nvCxnSpPr>
        <xdr:cNvPr id="21" name="מחבר חץ ישר 20"/>
        <xdr:cNvCxnSpPr/>
      </xdr:nvCxnSpPr>
      <xdr:spPr>
        <a:xfrm flipH="1">
          <a:off x="11232232425" y="39576375"/>
          <a:ext cx="1847851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29</xdr:row>
      <xdr:rowOff>95250</xdr:rowOff>
    </xdr:from>
    <xdr:to>
      <xdr:col>5</xdr:col>
      <xdr:colOff>28575</xdr:colOff>
      <xdr:row>29</xdr:row>
      <xdr:rowOff>123825</xdr:rowOff>
    </xdr:to>
    <xdr:cxnSp macro="">
      <xdr:nvCxnSpPr>
        <xdr:cNvPr id="22" name="מחבר חץ ישר 21"/>
        <xdr:cNvCxnSpPr/>
      </xdr:nvCxnSpPr>
      <xdr:spPr>
        <a:xfrm flipH="1" flipV="1">
          <a:off x="11233032525" y="5353050"/>
          <a:ext cx="183832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200</xdr:row>
      <xdr:rowOff>85725</xdr:rowOff>
    </xdr:from>
    <xdr:to>
      <xdr:col>6</xdr:col>
      <xdr:colOff>9525</xdr:colOff>
      <xdr:row>207</xdr:row>
      <xdr:rowOff>9525</xdr:rowOff>
    </xdr:to>
    <xdr:cxnSp macro="">
      <xdr:nvCxnSpPr>
        <xdr:cNvPr id="23" name="מחבר חץ ישר 22"/>
        <xdr:cNvCxnSpPr/>
      </xdr:nvCxnSpPr>
      <xdr:spPr>
        <a:xfrm flipH="1" flipV="1">
          <a:off x="11232222900" y="36404550"/>
          <a:ext cx="1819275" cy="1219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206</xdr:row>
      <xdr:rowOff>123825</xdr:rowOff>
    </xdr:from>
    <xdr:to>
      <xdr:col>6</xdr:col>
      <xdr:colOff>38100</xdr:colOff>
      <xdr:row>211</xdr:row>
      <xdr:rowOff>47625</xdr:rowOff>
    </xdr:to>
    <xdr:cxnSp macro="">
      <xdr:nvCxnSpPr>
        <xdr:cNvPr id="24" name="מחבר חץ ישר 23"/>
        <xdr:cNvCxnSpPr/>
      </xdr:nvCxnSpPr>
      <xdr:spPr>
        <a:xfrm flipH="1" flipV="1">
          <a:off x="11232194325" y="37547550"/>
          <a:ext cx="2047875" cy="857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213</xdr:row>
      <xdr:rowOff>104775</xdr:rowOff>
    </xdr:from>
    <xdr:to>
      <xdr:col>5</xdr:col>
      <xdr:colOff>809625</xdr:colOff>
      <xdr:row>216</xdr:row>
      <xdr:rowOff>180975</xdr:rowOff>
    </xdr:to>
    <xdr:cxnSp macro="">
      <xdr:nvCxnSpPr>
        <xdr:cNvPr id="25" name="מחבר חץ ישר 24"/>
        <xdr:cNvCxnSpPr/>
      </xdr:nvCxnSpPr>
      <xdr:spPr>
        <a:xfrm flipH="1" flipV="1">
          <a:off x="11232251475" y="38833425"/>
          <a:ext cx="1847850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2"/>
  <sheetViews>
    <sheetView rightToLeft="1" topLeftCell="A40" workbookViewId="0">
      <selection activeCell="C52" sqref="C52"/>
    </sheetView>
  </sheetViews>
  <sheetFormatPr defaultRowHeight="14.25"/>
  <cols>
    <col min="2" max="2" width="10.875" customWidth="1"/>
    <col min="3" max="3" width="17.125" customWidth="1"/>
    <col min="4" max="4" width="11.875" customWidth="1"/>
    <col min="5" max="5" width="13" customWidth="1"/>
    <col min="6" max="6" width="11.5" style="2" customWidth="1"/>
  </cols>
  <sheetData>
    <row r="2" spans="1:12" ht="15">
      <c r="A2" s="7" t="s">
        <v>18</v>
      </c>
      <c r="L2" s="7" t="s">
        <v>17</v>
      </c>
    </row>
    <row r="3" spans="1:12">
      <c r="F3" s="2" t="s">
        <v>45</v>
      </c>
    </row>
    <row r="4" spans="1:12">
      <c r="A4" t="s">
        <v>0</v>
      </c>
      <c r="E4" s="6">
        <v>132000</v>
      </c>
      <c r="F4" s="2" t="s">
        <v>46</v>
      </c>
      <c r="L4">
        <v>0.25</v>
      </c>
    </row>
    <row r="5" spans="1:12">
      <c r="E5" s="6"/>
    </row>
    <row r="6" spans="1:12">
      <c r="A6" s="1" t="s">
        <v>1</v>
      </c>
      <c r="E6" s="6"/>
    </row>
    <row r="7" spans="1:12">
      <c r="A7" t="s">
        <v>19</v>
      </c>
      <c r="E7" s="6">
        <f>C85</f>
        <v>125000</v>
      </c>
      <c r="F7" s="2">
        <v>1</v>
      </c>
      <c r="L7">
        <v>0.25</v>
      </c>
    </row>
    <row r="8" spans="1:12">
      <c r="A8" t="s">
        <v>70</v>
      </c>
      <c r="E8" s="6">
        <f>D126</f>
        <v>35000</v>
      </c>
      <c r="F8" s="2">
        <v>3</v>
      </c>
      <c r="L8">
        <v>0.5</v>
      </c>
    </row>
    <row r="9" spans="1:12">
      <c r="A9" t="s">
        <v>20</v>
      </c>
      <c r="E9" s="6">
        <v>25000</v>
      </c>
      <c r="F9" s="2" t="s">
        <v>46</v>
      </c>
      <c r="L9">
        <v>0.25</v>
      </c>
    </row>
    <row r="10" spans="1:12">
      <c r="A10" t="s">
        <v>21</v>
      </c>
      <c r="E10" s="6">
        <f>0.05*250000*0.5</f>
        <v>6250</v>
      </c>
      <c r="F10" s="2" t="s">
        <v>81</v>
      </c>
      <c r="L10">
        <v>0.25</v>
      </c>
    </row>
    <row r="11" spans="1:12">
      <c r="A11" t="s">
        <v>22</v>
      </c>
      <c r="E11" s="6">
        <v>18000</v>
      </c>
      <c r="F11" s="2" t="s">
        <v>90</v>
      </c>
      <c r="L11">
        <v>0.25</v>
      </c>
    </row>
    <row r="12" spans="1:12">
      <c r="A12" t="s">
        <v>23</v>
      </c>
      <c r="E12" s="6">
        <v>3000</v>
      </c>
      <c r="L12">
        <v>0.25</v>
      </c>
    </row>
    <row r="13" spans="1:12" ht="16.5">
      <c r="A13" t="s">
        <v>24</v>
      </c>
      <c r="E13" s="10">
        <v>8000</v>
      </c>
      <c r="L13">
        <v>0.25</v>
      </c>
    </row>
    <row r="14" spans="1:12">
      <c r="A14" t="s">
        <v>2</v>
      </c>
      <c r="E14" s="6">
        <f>SUM(E7:E13)</f>
        <v>220250</v>
      </c>
    </row>
    <row r="15" spans="1:12">
      <c r="E15" s="6"/>
    </row>
    <row r="16" spans="1:12">
      <c r="A16" s="1" t="s">
        <v>3</v>
      </c>
      <c r="E16" s="6"/>
    </row>
    <row r="17" spans="1:12">
      <c r="A17" t="s">
        <v>25</v>
      </c>
      <c r="E17" s="6">
        <f>-D94</f>
        <v>-187500</v>
      </c>
      <c r="F17" s="2">
        <v>1</v>
      </c>
      <c r="L17">
        <v>0.5</v>
      </c>
    </row>
    <row r="18" spans="1:12">
      <c r="A18" t="s">
        <v>26</v>
      </c>
      <c r="E18" s="6">
        <v>-2500</v>
      </c>
      <c r="F18" s="2" t="s">
        <v>62</v>
      </c>
      <c r="L18">
        <v>0.25</v>
      </c>
    </row>
    <row r="19" spans="1:12">
      <c r="A19" t="s">
        <v>4</v>
      </c>
      <c r="E19" s="6">
        <f>-C133</f>
        <v>-1875</v>
      </c>
      <c r="F19" s="2">
        <v>4</v>
      </c>
      <c r="L19">
        <v>0.25</v>
      </c>
    </row>
    <row r="20" spans="1:12" ht="16.5">
      <c r="A20" t="s">
        <v>75</v>
      </c>
      <c r="E20" s="10">
        <f>-0.03*250000*0.1</f>
        <v>-750</v>
      </c>
      <c r="F20" s="2" t="s">
        <v>82</v>
      </c>
      <c r="L20">
        <v>0.25</v>
      </c>
    </row>
    <row r="21" spans="1:12">
      <c r="A21" t="s">
        <v>5</v>
      </c>
      <c r="E21" s="6">
        <f>SUM(E17:E20)</f>
        <v>-192625</v>
      </c>
    </row>
    <row r="22" spans="1:12">
      <c r="E22" s="6"/>
    </row>
    <row r="23" spans="1:12">
      <c r="A23" t="s">
        <v>28</v>
      </c>
      <c r="E23" s="6">
        <f>E4+E14+E21</f>
        <v>159625</v>
      </c>
    </row>
    <row r="24" spans="1:12">
      <c r="A24" t="s">
        <v>29</v>
      </c>
      <c r="E24" s="6">
        <v>-120000</v>
      </c>
      <c r="L24">
        <v>0.25</v>
      </c>
    </row>
    <row r="25" spans="1:12">
      <c r="A25" t="s">
        <v>27</v>
      </c>
      <c r="E25" s="6">
        <f>SUM(E23:E24)</f>
        <v>39625</v>
      </c>
      <c r="L25">
        <v>0.25</v>
      </c>
    </row>
    <row r="26" spans="1:12">
      <c r="E26" s="6"/>
    </row>
    <row r="27" spans="1:12">
      <c r="A27" t="s">
        <v>30</v>
      </c>
      <c r="E27" s="6"/>
      <c r="L27">
        <v>0.75</v>
      </c>
    </row>
    <row r="28" spans="1:12">
      <c r="A28" t="s">
        <v>92</v>
      </c>
      <c r="E28" s="6">
        <f>E25*0.35</f>
        <v>13868.75</v>
      </c>
    </row>
    <row r="29" spans="1:12">
      <c r="A29" t="s">
        <v>93</v>
      </c>
      <c r="E29" s="6">
        <f>3%*250000*(2.6-2.1)*25%</f>
        <v>937.5</v>
      </c>
      <c r="F29" s="2" t="s">
        <v>120</v>
      </c>
    </row>
    <row r="30" spans="1:12" ht="16.5">
      <c r="A30" t="s">
        <v>94</v>
      </c>
      <c r="E30" s="10">
        <f>-E13*0.15</f>
        <v>-1200</v>
      </c>
      <c r="F30" s="2" t="s">
        <v>95</v>
      </c>
    </row>
    <row r="31" spans="1:12">
      <c r="A31" t="s">
        <v>11</v>
      </c>
      <c r="E31" s="6">
        <f>SUM(E28:E30)</f>
        <v>13606.25</v>
      </c>
    </row>
    <row r="33" spans="1:12" ht="15">
      <c r="A33" s="7" t="s">
        <v>6</v>
      </c>
    </row>
    <row r="35" spans="1:12" ht="33">
      <c r="C35" s="8">
        <v>41639</v>
      </c>
      <c r="D35" s="9" t="s">
        <v>51</v>
      </c>
      <c r="E35" s="9" t="s">
        <v>52</v>
      </c>
      <c r="F35" s="8">
        <v>42004</v>
      </c>
      <c r="G35" s="9" t="s">
        <v>8</v>
      </c>
    </row>
    <row r="36" spans="1:12">
      <c r="A36" t="s">
        <v>47</v>
      </c>
      <c r="C36" s="6">
        <v>-56250</v>
      </c>
      <c r="D36" s="6">
        <f>F36-E36-C36</f>
        <v>-11562.5</v>
      </c>
      <c r="E36" s="6"/>
      <c r="F36" s="6">
        <f>C105</f>
        <v>-67812.5</v>
      </c>
      <c r="G36">
        <v>1</v>
      </c>
      <c r="L36">
        <v>3</v>
      </c>
    </row>
    <row r="37" spans="1:12">
      <c r="A37" t="s">
        <v>48</v>
      </c>
      <c r="C37" s="6">
        <f>C119</f>
        <v>2250</v>
      </c>
      <c r="D37" s="6">
        <f t="shared" ref="D37:D42" si="0">F37-E37-C37</f>
        <v>-1037.5</v>
      </c>
      <c r="E37" s="6"/>
      <c r="F37" s="6">
        <f>C120</f>
        <v>1212.5</v>
      </c>
      <c r="G37">
        <v>2</v>
      </c>
      <c r="L37">
        <v>2</v>
      </c>
    </row>
    <row r="38" spans="1:12">
      <c r="A38" t="s">
        <v>7</v>
      </c>
      <c r="C38" s="6">
        <f>C128</f>
        <v>10800</v>
      </c>
      <c r="D38" s="6">
        <f t="shared" si="0"/>
        <v>10650</v>
      </c>
      <c r="E38" s="6"/>
      <c r="F38" s="6">
        <f>C129</f>
        <v>21450</v>
      </c>
      <c r="G38">
        <v>3</v>
      </c>
      <c r="L38">
        <v>2</v>
      </c>
    </row>
    <row r="39" spans="1:12">
      <c r="A39" t="s">
        <v>4</v>
      </c>
      <c r="C39" s="6">
        <v>0</v>
      </c>
      <c r="D39" s="6">
        <f>C136</f>
        <v>-656.25</v>
      </c>
      <c r="E39" s="6">
        <f>C135</f>
        <v>1856.25</v>
      </c>
      <c r="F39" s="6">
        <f>SUM(D39:E39)</f>
        <v>1200</v>
      </c>
      <c r="G39">
        <v>4</v>
      </c>
      <c r="L39">
        <v>3</v>
      </c>
    </row>
    <row r="40" spans="1:12">
      <c r="A40" t="s">
        <v>49</v>
      </c>
      <c r="C40" s="6">
        <f>C143</f>
        <v>-1999.9999999999995</v>
      </c>
      <c r="D40" s="6">
        <f t="shared" si="0"/>
        <v>2312.5</v>
      </c>
      <c r="E40" s="6"/>
      <c r="F40" s="6">
        <f>C144</f>
        <v>312.50000000000028</v>
      </c>
      <c r="G40">
        <v>5</v>
      </c>
      <c r="L40">
        <v>2</v>
      </c>
    </row>
    <row r="41" spans="1:12">
      <c r="A41" t="s">
        <v>22</v>
      </c>
      <c r="C41" s="6">
        <v>0</v>
      </c>
      <c r="D41" s="6">
        <f>D148</f>
        <v>6300</v>
      </c>
      <c r="E41" s="6">
        <f>D147</f>
        <v>-12239.999999999998</v>
      </c>
      <c r="F41" s="6">
        <f>SUM(C41:E41)</f>
        <v>-5939.9999999999982</v>
      </c>
      <c r="G41">
        <v>6</v>
      </c>
      <c r="L41">
        <v>3</v>
      </c>
    </row>
    <row r="42" spans="1:12" ht="16.5">
      <c r="A42" t="s">
        <v>50</v>
      </c>
      <c r="C42" s="10">
        <f>120000*0.36</f>
        <v>43200</v>
      </c>
      <c r="D42" s="10">
        <f t="shared" si="0"/>
        <v>-43200</v>
      </c>
      <c r="E42" s="10"/>
      <c r="F42" s="10">
        <v>0</v>
      </c>
      <c r="H42" s="2"/>
      <c r="L42">
        <v>1</v>
      </c>
    </row>
    <row r="43" spans="1:12">
      <c r="A43" t="s">
        <v>11</v>
      </c>
      <c r="C43" s="6">
        <f>SUM(C36:C42)</f>
        <v>-2000</v>
      </c>
      <c r="D43" s="6">
        <f>SUM(D36:D42)</f>
        <v>-37193.75</v>
      </c>
      <c r="E43" s="6">
        <f>SUM(E36:E42)</f>
        <v>-10383.749999999998</v>
      </c>
      <c r="F43" s="6">
        <f>SUM(F36:F42)</f>
        <v>-49577.5</v>
      </c>
    </row>
    <row r="45" spans="1:12" ht="15">
      <c r="A45" s="7" t="s">
        <v>96</v>
      </c>
    </row>
    <row r="47" spans="1:12">
      <c r="A47" t="s">
        <v>97</v>
      </c>
      <c r="D47" s="6">
        <f>E31</f>
        <v>13606.25</v>
      </c>
      <c r="L47">
        <v>0.25</v>
      </c>
    </row>
    <row r="48" spans="1:12">
      <c r="A48" t="s">
        <v>98</v>
      </c>
    </row>
    <row r="49" spans="1:12">
      <c r="A49" t="s">
        <v>99</v>
      </c>
      <c r="D49" s="6">
        <f>E62</f>
        <v>44543.75</v>
      </c>
      <c r="L49">
        <v>1.25</v>
      </c>
    </row>
    <row r="50" spans="1:12">
      <c r="A50" t="s">
        <v>100</v>
      </c>
      <c r="D50" s="6">
        <f>D51-D49</f>
        <v>-7350</v>
      </c>
      <c r="E50" t="s">
        <v>36</v>
      </c>
      <c r="L50">
        <v>0.25</v>
      </c>
    </row>
    <row r="51" spans="1:12">
      <c r="A51" t="s">
        <v>101</v>
      </c>
      <c r="D51" s="6">
        <f>-D43</f>
        <v>37193.75</v>
      </c>
    </row>
    <row r="52" spans="1:12">
      <c r="A52" t="s">
        <v>12</v>
      </c>
      <c r="D52" s="6">
        <v>22000</v>
      </c>
      <c r="L52">
        <v>0.25</v>
      </c>
    </row>
    <row r="53" spans="1:12">
      <c r="A53" t="s">
        <v>102</v>
      </c>
      <c r="D53" s="6">
        <f>D47+D51+D52</f>
        <v>72800</v>
      </c>
    </row>
    <row r="54" spans="1:12">
      <c r="D54" s="6"/>
    </row>
    <row r="55" spans="1:12">
      <c r="A55" t="s">
        <v>103</v>
      </c>
      <c r="D55" s="6"/>
    </row>
    <row r="56" spans="1:12">
      <c r="A56" t="s">
        <v>104</v>
      </c>
      <c r="D56" s="6"/>
    </row>
    <row r="57" spans="1:12">
      <c r="A57" t="s">
        <v>105</v>
      </c>
      <c r="D57" s="6"/>
      <c r="F57" s="11">
        <f>-D40</f>
        <v>-2312.5</v>
      </c>
      <c r="G57" t="s">
        <v>106</v>
      </c>
    </row>
    <row r="58" spans="1:12">
      <c r="A58" t="s">
        <v>107</v>
      </c>
      <c r="D58" s="6"/>
    </row>
    <row r="59" spans="1:12">
      <c r="A59" t="s">
        <v>108</v>
      </c>
      <c r="D59" s="6"/>
      <c r="F59" s="11">
        <f>E7+E8+E11+E17+E18+E19+E24</f>
        <v>-133875</v>
      </c>
      <c r="G59" t="s">
        <v>109</v>
      </c>
    </row>
    <row r="60" spans="1:12">
      <c r="A60" t="s">
        <v>110</v>
      </c>
      <c r="D60" s="6"/>
      <c r="F60" s="11">
        <f>-F59*0.35</f>
        <v>46856.25</v>
      </c>
      <c r="G60" s="2" t="s">
        <v>111</v>
      </c>
    </row>
    <row r="61" spans="1:12">
      <c r="D61" s="6"/>
      <c r="F61" s="11"/>
      <c r="G61" s="2"/>
    </row>
    <row r="62" spans="1:12">
      <c r="A62" t="s">
        <v>112</v>
      </c>
      <c r="D62" s="6"/>
      <c r="E62" s="6">
        <f>F57+F60</f>
        <v>44543.75</v>
      </c>
      <c r="F62" s="11"/>
      <c r="G62" s="2"/>
    </row>
    <row r="63" spans="1:12">
      <c r="D63" s="6"/>
      <c r="E63" s="6"/>
      <c r="F63" s="11"/>
      <c r="G63" s="2"/>
    </row>
    <row r="64" spans="1:12" ht="15">
      <c r="A64" s="7" t="s">
        <v>113</v>
      </c>
    </row>
    <row r="66" spans="1:12">
      <c r="A66" t="s">
        <v>0</v>
      </c>
      <c r="D66" s="6">
        <f>E4</f>
        <v>132000</v>
      </c>
      <c r="E66" s="3"/>
    </row>
    <row r="67" spans="1:12">
      <c r="A67" t="s">
        <v>9</v>
      </c>
      <c r="D67" s="4">
        <v>0.35</v>
      </c>
    </row>
    <row r="68" spans="1:12">
      <c r="A68" t="s">
        <v>10</v>
      </c>
      <c r="D68" s="6">
        <f>D66*D67</f>
        <v>46200</v>
      </c>
      <c r="L68">
        <v>0.25</v>
      </c>
    </row>
    <row r="69" spans="1:12">
      <c r="D69" s="6"/>
    </row>
    <row r="70" spans="1:12">
      <c r="A70" t="s">
        <v>13</v>
      </c>
      <c r="D70" s="6">
        <f>D50</f>
        <v>-7350</v>
      </c>
      <c r="E70" s="2"/>
      <c r="L70">
        <v>0.25</v>
      </c>
    </row>
    <row r="71" spans="1:12">
      <c r="A71" t="s">
        <v>114</v>
      </c>
      <c r="D71" s="6">
        <f>E9*0.35</f>
        <v>8750</v>
      </c>
      <c r="E71" s="2" t="s">
        <v>115</v>
      </c>
      <c r="L71">
        <v>0.25</v>
      </c>
    </row>
    <row r="72" spans="1:12">
      <c r="A72" t="s">
        <v>121</v>
      </c>
      <c r="D72" s="2">
        <v>625</v>
      </c>
      <c r="E72" s="2" t="s">
        <v>123</v>
      </c>
      <c r="L72">
        <v>0.25</v>
      </c>
    </row>
    <row r="73" spans="1:12">
      <c r="A73" t="s">
        <v>122</v>
      </c>
      <c r="D73" s="6">
        <v>-75</v>
      </c>
      <c r="E73" s="2" t="s">
        <v>124</v>
      </c>
      <c r="L73">
        <v>0.25</v>
      </c>
    </row>
    <row r="74" spans="1:12">
      <c r="A74" t="s">
        <v>116</v>
      </c>
      <c r="D74" s="6">
        <f>E12*0.35</f>
        <v>1050</v>
      </c>
      <c r="E74" s="2" t="s">
        <v>117</v>
      </c>
      <c r="L74">
        <v>0.25</v>
      </c>
    </row>
    <row r="75" spans="1:12">
      <c r="A75" t="s">
        <v>12</v>
      </c>
      <c r="D75" s="6">
        <f>D52</f>
        <v>22000</v>
      </c>
      <c r="E75" s="2"/>
      <c r="L75">
        <v>0.25</v>
      </c>
    </row>
    <row r="76" spans="1:12">
      <c r="A76" t="s">
        <v>118</v>
      </c>
      <c r="D76" s="6">
        <f>8000*0.2</f>
        <v>1600</v>
      </c>
      <c r="E76" s="2" t="s">
        <v>119</v>
      </c>
      <c r="L76">
        <v>0.25</v>
      </c>
    </row>
    <row r="77" spans="1:12">
      <c r="D77" s="6"/>
      <c r="E77" s="2"/>
    </row>
    <row r="78" spans="1:12">
      <c r="A78" t="s">
        <v>14</v>
      </c>
      <c r="D78" s="6">
        <f>D53</f>
        <v>72800</v>
      </c>
      <c r="E78" s="2"/>
      <c r="L78">
        <v>0.25</v>
      </c>
    </row>
    <row r="79" spans="1:12">
      <c r="D79" s="6"/>
      <c r="E79" s="2"/>
    </row>
    <row r="80" spans="1:12">
      <c r="D80" s="6"/>
      <c r="E80" s="2"/>
    </row>
    <row r="81" spans="1:5">
      <c r="A81" t="s">
        <v>15</v>
      </c>
      <c r="E81" s="2"/>
    </row>
    <row r="83" spans="1:5">
      <c r="A83" s="5" t="s">
        <v>31</v>
      </c>
    </row>
    <row r="85" spans="1:5">
      <c r="A85" t="s">
        <v>43</v>
      </c>
      <c r="C85">
        <f>750000/6</f>
        <v>125000</v>
      </c>
      <c r="D85" s="11" t="s">
        <v>44</v>
      </c>
    </row>
    <row r="87" spans="1:5">
      <c r="A87" t="s">
        <v>32</v>
      </c>
      <c r="D87" s="6"/>
      <c r="E87" s="2"/>
    </row>
    <row r="88" spans="1:5">
      <c r="C88" s="12">
        <v>41639</v>
      </c>
      <c r="D88" s="6"/>
      <c r="E88" s="2"/>
    </row>
    <row r="89" spans="1:5">
      <c r="A89" t="s">
        <v>33</v>
      </c>
      <c r="C89" s="6">
        <f>C91-C90</f>
        <v>281250</v>
      </c>
      <c r="D89" s="6" t="s">
        <v>36</v>
      </c>
      <c r="E89" s="2"/>
    </row>
    <row r="90" spans="1:5">
      <c r="A90" t="s">
        <v>16</v>
      </c>
      <c r="C90" s="6">
        <v>-437500</v>
      </c>
      <c r="D90" s="11" t="s">
        <v>37</v>
      </c>
      <c r="E90" s="2"/>
    </row>
    <row r="91" spans="1:5">
      <c r="A91" t="s">
        <v>34</v>
      </c>
      <c r="C91" s="6">
        <f>-56250/0.36</f>
        <v>-156250</v>
      </c>
      <c r="D91" s="2" t="s">
        <v>35</v>
      </c>
      <c r="E91" s="2"/>
    </row>
    <row r="92" spans="1:5">
      <c r="D92" s="6"/>
      <c r="E92" s="2"/>
    </row>
    <row r="93" spans="1:5">
      <c r="A93" t="s">
        <v>38</v>
      </c>
      <c r="D93" s="6">
        <f>750000-C89</f>
        <v>468750</v>
      </c>
      <c r="E93" s="2" t="s">
        <v>39</v>
      </c>
    </row>
    <row r="94" spans="1:5">
      <c r="A94" t="s">
        <v>40</v>
      </c>
      <c r="D94" s="6">
        <f>D93/2.5</f>
        <v>187500</v>
      </c>
      <c r="E94" s="2"/>
    </row>
    <row r="95" spans="1:5">
      <c r="A95" t="s">
        <v>41</v>
      </c>
      <c r="D95" s="6">
        <f>750000/D94</f>
        <v>4</v>
      </c>
      <c r="E95" s="2" t="s">
        <v>42</v>
      </c>
    </row>
    <row r="96" spans="1:5">
      <c r="D96" s="6"/>
      <c r="E96" s="2"/>
    </row>
    <row r="97" spans="1:5">
      <c r="A97" t="s">
        <v>53</v>
      </c>
      <c r="D97" s="6"/>
      <c r="E97" s="2"/>
    </row>
    <row r="98" spans="1:5">
      <c r="A98" t="s">
        <v>54</v>
      </c>
      <c r="D98" s="6"/>
      <c r="E98" s="2"/>
    </row>
    <row r="99" spans="1:5">
      <c r="A99" t="s">
        <v>55</v>
      </c>
      <c r="B99">
        <f>750000*(0.5/4-2.5/6)</f>
        <v>-218750</v>
      </c>
      <c r="C99" s="2" t="s">
        <v>58</v>
      </c>
      <c r="D99" s="6"/>
      <c r="E99" s="2"/>
    </row>
    <row r="100" spans="1:5">
      <c r="A100" t="s">
        <v>51</v>
      </c>
      <c r="B100">
        <f>B101-B99</f>
        <v>31250</v>
      </c>
      <c r="D100" s="6"/>
      <c r="E100" s="2"/>
    </row>
    <row r="101" spans="1:5">
      <c r="A101" t="s">
        <v>56</v>
      </c>
      <c r="B101">
        <f>750000*(0-1.5/6)</f>
        <v>-187500</v>
      </c>
      <c r="C101" s="2" t="s">
        <v>59</v>
      </c>
      <c r="D101" s="6"/>
      <c r="E101" s="2"/>
    </row>
    <row r="102" spans="1:5">
      <c r="A102" t="s">
        <v>51</v>
      </c>
      <c r="B102">
        <f>B103-B101</f>
        <v>125000</v>
      </c>
      <c r="D102" s="6"/>
      <c r="E102" s="2"/>
    </row>
    <row r="103" spans="1:5">
      <c r="A103" t="s">
        <v>57</v>
      </c>
      <c r="B103">
        <f>750000*(0-0.5/6)</f>
        <v>-62500</v>
      </c>
      <c r="C103" s="2" t="s">
        <v>60</v>
      </c>
      <c r="D103" s="6"/>
      <c r="E103" s="2"/>
    </row>
    <row r="104" spans="1:5">
      <c r="D104" s="6"/>
      <c r="E104" s="2"/>
    </row>
    <row r="105" spans="1:5">
      <c r="A105" t="s">
        <v>61</v>
      </c>
      <c r="C105" s="6">
        <f>-B100*0.33-B102*0.31+B103*0.3</f>
        <v>-67812.5</v>
      </c>
      <c r="D105" s="6"/>
      <c r="E105" s="2"/>
    </row>
    <row r="106" spans="1:5">
      <c r="D106" s="6"/>
      <c r="E106" s="2"/>
    </row>
    <row r="107" spans="1:5">
      <c r="D107" s="6"/>
      <c r="E107" s="2"/>
    </row>
    <row r="108" spans="1:5">
      <c r="A108" s="5" t="s">
        <v>63</v>
      </c>
      <c r="E108" s="2"/>
    </row>
    <row r="109" spans="1:5">
      <c r="E109" s="2"/>
    </row>
    <row r="110" spans="1:5" ht="16.5">
      <c r="A110" t="s">
        <v>64</v>
      </c>
      <c r="D110" s="8"/>
      <c r="E110" s="8"/>
    </row>
    <row r="111" spans="1:5">
      <c r="D111" s="6"/>
      <c r="E111" s="6"/>
    </row>
    <row r="112" spans="1:5">
      <c r="A112" t="s">
        <v>65</v>
      </c>
      <c r="B112" s="6">
        <f>2500*2.5</f>
        <v>6250</v>
      </c>
      <c r="C112" s="2" t="s">
        <v>66</v>
      </c>
      <c r="D112" s="6"/>
      <c r="E112" s="6"/>
    </row>
    <row r="113" spans="1:5">
      <c r="A113" t="s">
        <v>55</v>
      </c>
      <c r="B113" s="6">
        <f>B112-2500</f>
        <v>3750</v>
      </c>
      <c r="C113" s="2" t="s">
        <v>67</v>
      </c>
      <c r="D113" s="6"/>
      <c r="E113" s="6"/>
    </row>
    <row r="114" spans="1:5">
      <c r="A114" t="s">
        <v>51</v>
      </c>
      <c r="B114" s="6">
        <f>B115-B113</f>
        <v>-2500</v>
      </c>
      <c r="D114" s="4"/>
      <c r="E114" s="4"/>
    </row>
    <row r="115" spans="1:5">
      <c r="A115" t="s">
        <v>56</v>
      </c>
      <c r="B115" s="6">
        <f>2500*0.5</f>
        <v>1250</v>
      </c>
      <c r="C115" s="2" t="s">
        <v>73</v>
      </c>
      <c r="D115" s="6"/>
      <c r="E115" s="6"/>
    </row>
    <row r="116" spans="1:5">
      <c r="A116" t="s">
        <v>51</v>
      </c>
      <c r="B116" s="6">
        <f>B117-B115</f>
        <v>-1250</v>
      </c>
      <c r="E116" s="2"/>
    </row>
    <row r="117" spans="1:5">
      <c r="A117" t="s">
        <v>57</v>
      </c>
      <c r="B117" s="6">
        <v>0</v>
      </c>
      <c r="E117" s="2"/>
    </row>
    <row r="118" spans="1:5">
      <c r="E118" s="2"/>
    </row>
    <row r="119" spans="1:5">
      <c r="A119" t="s">
        <v>68</v>
      </c>
      <c r="C119" s="6">
        <f>B112*0.36</f>
        <v>2250</v>
      </c>
      <c r="E119" s="2"/>
    </row>
    <row r="120" spans="1:5">
      <c r="A120" t="s">
        <v>61</v>
      </c>
      <c r="C120" s="6">
        <f>-B114*0.33-B116*0.31+B117*0.3</f>
        <v>1212.5</v>
      </c>
      <c r="E120" s="2"/>
    </row>
    <row r="121" spans="1:5">
      <c r="E121" s="2"/>
    </row>
    <row r="122" spans="1:5">
      <c r="A122" s="5" t="s">
        <v>69</v>
      </c>
      <c r="E122" s="2"/>
    </row>
    <row r="123" spans="1:5">
      <c r="E123" s="2"/>
    </row>
    <row r="124" spans="1:5" ht="16.5">
      <c r="A124" t="s">
        <v>71</v>
      </c>
      <c r="D124" s="6">
        <f>150*200</f>
        <v>30000</v>
      </c>
      <c r="E124" s="8"/>
    </row>
    <row r="125" spans="1:5">
      <c r="A125" t="s">
        <v>72</v>
      </c>
      <c r="D125" s="6">
        <f>325*200</f>
        <v>65000</v>
      </c>
      <c r="E125" s="6"/>
    </row>
    <row r="126" spans="1:5">
      <c r="A126" t="s">
        <v>74</v>
      </c>
      <c r="D126" s="6">
        <f>D125-D124</f>
        <v>35000</v>
      </c>
      <c r="E126" s="6"/>
    </row>
    <row r="127" spans="1:5">
      <c r="D127" s="6"/>
      <c r="E127" s="6"/>
    </row>
    <row r="128" spans="1:5">
      <c r="A128" t="s">
        <v>68</v>
      </c>
      <c r="C128" s="6">
        <f>D124*0.36</f>
        <v>10800</v>
      </c>
      <c r="D128" s="4"/>
      <c r="E128" s="4"/>
    </row>
    <row r="129" spans="1:5">
      <c r="A129" t="s">
        <v>61</v>
      </c>
      <c r="C129" s="6">
        <f>D125*0.33</f>
        <v>21450</v>
      </c>
      <c r="D129" s="6"/>
      <c r="E129" s="6"/>
    </row>
    <row r="130" spans="1:5">
      <c r="E130" s="2"/>
    </row>
    <row r="131" spans="1:5">
      <c r="A131" s="5" t="s">
        <v>76</v>
      </c>
      <c r="E131" s="2"/>
    </row>
    <row r="132" spans="1:5">
      <c r="A132" t="s">
        <v>77</v>
      </c>
      <c r="C132">
        <f>90000*1.25*0.05</f>
        <v>5625</v>
      </c>
      <c r="E132" s="2"/>
    </row>
    <row r="133" spans="1:5" ht="16.5">
      <c r="A133" t="s">
        <v>78</v>
      </c>
      <c r="C133">
        <f>C132/3</f>
        <v>1875</v>
      </c>
      <c r="D133" s="8"/>
      <c r="E133" s="8"/>
    </row>
    <row r="134" spans="1:5">
      <c r="D134" s="6"/>
      <c r="E134" s="6"/>
    </row>
    <row r="135" spans="1:5">
      <c r="A135" t="s">
        <v>79</v>
      </c>
      <c r="C135" s="6">
        <f>C133*(0.35+0.33+0.31)</f>
        <v>1856.25</v>
      </c>
      <c r="D135" s="6"/>
      <c r="E135" s="6"/>
    </row>
    <row r="136" spans="1:5">
      <c r="A136" t="s">
        <v>80</v>
      </c>
      <c r="C136" s="6">
        <f>-C133*0.35</f>
        <v>-656.25</v>
      </c>
      <c r="D136" s="6"/>
      <c r="E136" s="6"/>
    </row>
    <row r="137" spans="1:5">
      <c r="D137" s="4"/>
      <c r="E137" s="4"/>
    </row>
    <row r="138" spans="1:5">
      <c r="A138" s="5" t="s">
        <v>87</v>
      </c>
      <c r="E138" s="2"/>
    </row>
    <row r="139" spans="1:5">
      <c r="E139" s="2"/>
    </row>
    <row r="140" spans="1:5" ht="16.5">
      <c r="A140" t="s">
        <v>83</v>
      </c>
      <c r="C140" s="6">
        <f>8%*250000*(2.1-2.5)</f>
        <v>-7999.9999999999982</v>
      </c>
      <c r="D140" s="2" t="s">
        <v>85</v>
      </c>
      <c r="E140" s="8"/>
    </row>
    <row r="141" spans="1:5">
      <c r="A141" t="s">
        <v>84</v>
      </c>
      <c r="C141" s="6">
        <f>5%*250000*(2.1-2)</f>
        <v>1250.0000000000011</v>
      </c>
      <c r="D141" s="2" t="s">
        <v>86</v>
      </c>
      <c r="E141" s="6"/>
    </row>
    <row r="142" spans="1:5">
      <c r="C142" s="6"/>
      <c r="D142" s="6"/>
      <c r="E142" s="6"/>
    </row>
    <row r="143" spans="1:5">
      <c r="A143" t="s">
        <v>68</v>
      </c>
      <c r="C143" s="6">
        <f>C140*0.25</f>
        <v>-1999.9999999999995</v>
      </c>
      <c r="D143" s="6"/>
      <c r="E143" s="6"/>
    </row>
    <row r="144" spans="1:5">
      <c r="A144" t="s">
        <v>61</v>
      </c>
      <c r="C144" s="6">
        <f>C141*0.25</f>
        <v>312.50000000000028</v>
      </c>
      <c r="D144" s="4"/>
      <c r="E144" s="4"/>
    </row>
    <row r="146" spans="1:5">
      <c r="A146" s="5" t="s">
        <v>88</v>
      </c>
      <c r="E146" s="2"/>
    </row>
    <row r="147" spans="1:5">
      <c r="A147" t="s">
        <v>89</v>
      </c>
      <c r="D147" s="6">
        <f>-18000*(0.35+0.33)</f>
        <v>-12239.999999999998</v>
      </c>
      <c r="E147" s="2"/>
    </row>
    <row r="148" spans="1:5" ht="16.5">
      <c r="A148" t="s">
        <v>91</v>
      </c>
      <c r="D148" s="6">
        <f>18000*0.35</f>
        <v>6300</v>
      </c>
      <c r="E148" s="8"/>
    </row>
    <row r="149" spans="1:5">
      <c r="D149" s="6"/>
      <c r="E149" s="6"/>
    </row>
    <row r="150" spans="1:5">
      <c r="D150" s="6"/>
      <c r="E150" s="6"/>
    </row>
    <row r="151" spans="1:5">
      <c r="D151" s="6"/>
      <c r="E151" s="6"/>
    </row>
    <row r="152" spans="1:5">
      <c r="D152" s="4"/>
      <c r="E152" s="4"/>
    </row>
    <row r="153" spans="1:5">
      <c r="D153" s="6"/>
      <c r="E153" s="6"/>
    </row>
    <row r="155" spans="1:5">
      <c r="E155" s="2"/>
    </row>
    <row r="157" spans="1:5">
      <c r="A157" s="5"/>
      <c r="E157" s="2"/>
    </row>
    <row r="158" spans="1:5">
      <c r="E158" s="2"/>
    </row>
    <row r="159" spans="1:5" ht="16.5">
      <c r="D159" s="8"/>
      <c r="E159" s="8"/>
    </row>
    <row r="160" spans="1:5">
      <c r="D160" s="6"/>
      <c r="E160" s="6"/>
    </row>
    <row r="161" spans="1:5">
      <c r="D161" s="6"/>
      <c r="E161" s="6"/>
    </row>
    <row r="162" spans="1:5">
      <c r="D162" s="6"/>
      <c r="E162" s="6"/>
    </row>
    <row r="163" spans="1:5">
      <c r="D163" s="4"/>
      <c r="E163" s="4"/>
    </row>
    <row r="164" spans="1:5">
      <c r="D164" s="6"/>
      <c r="E164" s="6"/>
    </row>
    <row r="166" spans="1:5">
      <c r="A166" s="5"/>
    </row>
    <row r="169" spans="1:5">
      <c r="C169" s="6"/>
    </row>
    <row r="170" spans="1:5">
      <c r="C170" s="6"/>
    </row>
    <row r="171" spans="1:5" ht="16.5">
      <c r="C171" s="10"/>
    </row>
    <row r="172" spans="1:5">
      <c r="C172" s="6"/>
    </row>
  </sheetData>
  <sheetProtection password="D3EB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36"/>
  <sheetViews>
    <sheetView rightToLeft="1" tabSelected="1" topLeftCell="A13" workbookViewId="0">
      <selection activeCell="D19" sqref="D19"/>
    </sheetView>
  </sheetViews>
  <sheetFormatPr defaultRowHeight="14.25"/>
  <cols>
    <col min="1" max="1" width="7.625" customWidth="1"/>
    <col min="2" max="2" width="13.125" customWidth="1"/>
    <col min="3" max="3" width="13" customWidth="1"/>
    <col min="4" max="4" width="11.875" bestFit="1" customWidth="1"/>
    <col min="5" max="5" width="12.375" bestFit="1" customWidth="1"/>
    <col min="6" max="6" width="10.875" bestFit="1" customWidth="1"/>
    <col min="7" max="9" width="9.875" bestFit="1" customWidth="1"/>
  </cols>
  <sheetData>
    <row r="2" spans="2:11">
      <c r="B2" s="13" t="s">
        <v>125</v>
      </c>
      <c r="C2" s="13"/>
      <c r="D2" s="13"/>
      <c r="E2" s="13"/>
      <c r="F2" s="13"/>
      <c r="G2" s="13"/>
    </row>
    <row r="4" spans="2:11">
      <c r="B4" t="s">
        <v>126</v>
      </c>
      <c r="D4" s="14">
        <f>D46</f>
        <v>165312.5</v>
      </c>
    </row>
    <row r="5" spans="2:11">
      <c r="B5" t="s">
        <v>127</v>
      </c>
      <c r="D5" s="14">
        <f>D79</f>
        <v>-11531.409374999997</v>
      </c>
      <c r="E5" s="74"/>
      <c r="F5" s="74"/>
      <c r="G5" s="74"/>
      <c r="H5" s="74"/>
      <c r="I5" s="74"/>
      <c r="J5" s="74"/>
      <c r="K5" s="74"/>
    </row>
    <row r="6" spans="2:11">
      <c r="B6" t="s">
        <v>128</v>
      </c>
      <c r="D6" s="14">
        <f>E148</f>
        <v>3234.3749999999995</v>
      </c>
      <c r="E6" s="74"/>
      <c r="F6" s="74"/>
      <c r="G6" s="74"/>
      <c r="H6" s="74"/>
      <c r="I6" s="74"/>
      <c r="J6" s="74"/>
      <c r="K6" s="74"/>
    </row>
    <row r="7" spans="2:11">
      <c r="B7" t="s">
        <v>129</v>
      </c>
      <c r="D7" s="14">
        <f>-C34*28.75%</f>
        <v>-8625</v>
      </c>
      <c r="E7" s="74"/>
      <c r="F7" s="74"/>
      <c r="G7" s="74"/>
      <c r="H7" s="74"/>
      <c r="I7" s="74"/>
      <c r="J7" s="74"/>
      <c r="K7" s="74"/>
    </row>
    <row r="8" spans="2:11">
      <c r="B8" t="s">
        <v>130</v>
      </c>
      <c r="D8" s="14">
        <f>D160*28.75%</f>
        <v>-5390.625</v>
      </c>
      <c r="E8" s="74"/>
      <c r="F8" s="74"/>
      <c r="G8" s="74"/>
      <c r="H8" s="74"/>
      <c r="I8" s="74"/>
      <c r="J8" s="74"/>
      <c r="K8" s="74"/>
    </row>
    <row r="9" spans="2:11">
      <c r="B9" t="s">
        <v>131</v>
      </c>
      <c r="D9" s="109">
        <f>G206*28.75%</f>
        <v>10853.125</v>
      </c>
      <c r="E9" s="74"/>
      <c r="F9" s="74"/>
      <c r="G9" s="74"/>
      <c r="H9" s="74"/>
      <c r="I9" s="74"/>
      <c r="J9" s="74"/>
      <c r="K9" s="74"/>
    </row>
    <row r="10" spans="2:11">
      <c r="B10" s="16">
        <v>40908</v>
      </c>
      <c r="D10" s="14">
        <f>SUM(D4:D9)</f>
        <v>153852.96562500001</v>
      </c>
      <c r="E10" s="74"/>
      <c r="F10" s="74"/>
      <c r="G10" s="74"/>
      <c r="H10" s="74"/>
      <c r="I10" s="74"/>
      <c r="J10" s="74"/>
      <c r="K10" s="74"/>
    </row>
    <row r="11" spans="2:11">
      <c r="B11" t="s">
        <v>127</v>
      </c>
      <c r="D11" s="14">
        <f>F79</f>
        <v>-118.22838541665396</v>
      </c>
      <c r="E11" s="74"/>
      <c r="F11" s="74"/>
      <c r="G11" s="74"/>
      <c r="H11" s="74"/>
      <c r="I11" s="74"/>
      <c r="J11" s="74"/>
      <c r="K11" s="74"/>
    </row>
    <row r="12" spans="2:11">
      <c r="B12" t="s">
        <v>128</v>
      </c>
      <c r="D12" s="14">
        <f>E150</f>
        <v>-3234.3749999999995</v>
      </c>
    </row>
    <row r="13" spans="2:11">
      <c r="B13" t="s">
        <v>129</v>
      </c>
      <c r="D13" s="14">
        <f>F198</f>
        <v>0</v>
      </c>
    </row>
    <row r="14" spans="2:11">
      <c r="B14" t="s">
        <v>130</v>
      </c>
      <c r="D14" s="14">
        <f>D162*28.75%</f>
        <v>-4312.5</v>
      </c>
    </row>
    <row r="15" spans="2:11">
      <c r="B15" t="s">
        <v>131</v>
      </c>
      <c r="D15" s="109">
        <f>G212*28.75%</f>
        <v>13943.749999999998</v>
      </c>
    </row>
    <row r="16" spans="2:11">
      <c r="B16" s="16">
        <v>41274</v>
      </c>
      <c r="D16" s="14">
        <f>SUM(D10:D15)</f>
        <v>160131.61223958337</v>
      </c>
    </row>
    <row r="17" spans="1:6">
      <c r="B17" t="s">
        <v>127</v>
      </c>
      <c r="D17" s="14">
        <f>H79</f>
        <v>-20844.618489583343</v>
      </c>
    </row>
    <row r="18" spans="1:6">
      <c r="B18" t="s">
        <v>128</v>
      </c>
      <c r="D18" s="14">
        <f>E154</f>
        <v>-2695.3125</v>
      </c>
      <c r="E18" t="s">
        <v>589</v>
      </c>
    </row>
    <row r="19" spans="1:6">
      <c r="B19" t="s">
        <v>129</v>
      </c>
      <c r="D19" s="14">
        <f>-B198*28.75%</f>
        <v>-2946.8749999999995</v>
      </c>
    </row>
    <row r="20" spans="1:6">
      <c r="B20" t="s">
        <v>133</v>
      </c>
      <c r="D20" s="108">
        <f>(C170-C171)*0.2875</f>
        <v>-3018.7499999999995</v>
      </c>
      <c r="E20" s="110"/>
    </row>
    <row r="21" spans="1:6">
      <c r="B21" t="s">
        <v>134</v>
      </c>
      <c r="D21" s="14">
        <f>D164*28.75%</f>
        <v>3234.3749999999995</v>
      </c>
    </row>
    <row r="22" spans="1:6">
      <c r="B22" t="s">
        <v>135</v>
      </c>
      <c r="D22" s="14">
        <f>-D181</f>
        <v>-2875</v>
      </c>
    </row>
    <row r="23" spans="1:6">
      <c r="B23" t="s">
        <v>131</v>
      </c>
      <c r="D23" s="109">
        <f>G219*28.75%</f>
        <v>34571.875</v>
      </c>
    </row>
    <row r="24" spans="1:6">
      <c r="D24" s="14">
        <f>SUM(D16:D23)</f>
        <v>165557.30625000002</v>
      </c>
    </row>
    <row r="25" spans="1:6">
      <c r="D25" s="14"/>
    </row>
    <row r="26" spans="1:6" ht="15">
      <c r="A26" s="7"/>
      <c r="B26" s="7" t="s">
        <v>136</v>
      </c>
      <c r="C26" s="7"/>
    </row>
    <row r="28" spans="1:6">
      <c r="B28" s="13" t="s">
        <v>137</v>
      </c>
      <c r="C28" s="13"/>
      <c r="D28" s="13"/>
      <c r="E28" s="13"/>
    </row>
    <row r="30" spans="1:6">
      <c r="B30" t="s">
        <v>138</v>
      </c>
      <c r="F30" s="15">
        <v>49750</v>
      </c>
    </row>
    <row r="33" spans="2:18" ht="15" thickBot="1"/>
    <row r="34" spans="2:18" ht="15" thickBot="1">
      <c r="C34" s="17">
        <f>F30-H34-F34</f>
        <v>30000</v>
      </c>
      <c r="F34" s="14">
        <f>15%*65000</f>
        <v>9750</v>
      </c>
      <c r="G34" s="14"/>
      <c r="H34" s="14">
        <f>50000*5%*4</f>
        <v>10000</v>
      </c>
    </row>
    <row r="35" spans="2:18">
      <c r="B35" t="s">
        <v>139</v>
      </c>
      <c r="E35" t="s">
        <v>140</v>
      </c>
      <c r="H35" t="s">
        <v>141</v>
      </c>
    </row>
    <row r="38" spans="2:18">
      <c r="J38" t="s">
        <v>142</v>
      </c>
    </row>
    <row r="40" spans="2:18">
      <c r="I40" s="3">
        <v>30000</v>
      </c>
      <c r="J40" t="s">
        <v>143</v>
      </c>
    </row>
    <row r="41" spans="2:18">
      <c r="J41" t="s">
        <v>144</v>
      </c>
    </row>
    <row r="42" spans="2:18" ht="15" thickBot="1">
      <c r="B42" t="s">
        <v>145</v>
      </c>
      <c r="G42" t="s">
        <v>146</v>
      </c>
    </row>
    <row r="43" spans="2:18">
      <c r="L43" s="18"/>
      <c r="M43" s="19"/>
      <c r="N43" s="19"/>
      <c r="O43" s="19"/>
      <c r="P43" s="19"/>
      <c r="Q43" s="19"/>
      <c r="R43" s="20"/>
    </row>
    <row r="44" spans="2:18">
      <c r="L44" s="21"/>
      <c r="M44" s="22"/>
      <c r="N44" s="22"/>
      <c r="O44" s="22"/>
      <c r="P44" s="22"/>
      <c r="Q44" s="22"/>
      <c r="R44" s="23"/>
    </row>
    <row r="45" spans="2:18">
      <c r="D45" s="13" t="s">
        <v>147</v>
      </c>
      <c r="L45" s="21" t="s">
        <v>148</v>
      </c>
      <c r="M45" s="22"/>
      <c r="N45" s="22"/>
      <c r="O45" s="22"/>
      <c r="P45" s="22"/>
      <c r="Q45" s="22"/>
      <c r="R45" s="23"/>
    </row>
    <row r="46" spans="2:18">
      <c r="C46" t="s">
        <v>149</v>
      </c>
      <c r="D46" s="14">
        <f>E53+143750</f>
        <v>165312.5</v>
      </c>
      <c r="G46" t="s">
        <v>150</v>
      </c>
      <c r="L46" s="21"/>
      <c r="M46" s="22"/>
      <c r="N46" s="24">
        <f>(1500+10000)/40000</f>
        <v>0.28749999999999998</v>
      </c>
      <c r="O46" s="22" t="s">
        <v>151</v>
      </c>
      <c r="P46" s="13"/>
      <c r="Q46" s="13" t="s">
        <v>152</v>
      </c>
      <c r="R46" s="23"/>
    </row>
    <row r="47" spans="2:18">
      <c r="C47" t="s">
        <v>153</v>
      </c>
      <c r="D47" s="15">
        <f>355000*28.75%</f>
        <v>102062.49999999999</v>
      </c>
      <c r="G47" t="s">
        <v>154</v>
      </c>
      <c r="L47" s="21"/>
      <c r="M47" s="22"/>
      <c r="N47" s="22"/>
      <c r="O47" s="22"/>
      <c r="P47" s="22"/>
      <c r="Q47" s="22" t="s">
        <v>155</v>
      </c>
      <c r="R47" s="23"/>
    </row>
    <row r="48" spans="2:18" ht="15" thickBot="1">
      <c r="D48" s="14">
        <f>D46-D47</f>
        <v>63250.000000000015</v>
      </c>
      <c r="L48" s="25"/>
      <c r="M48" s="26"/>
      <c r="N48" s="26"/>
      <c r="O48" s="26"/>
      <c r="P48" s="26"/>
      <c r="Q48" s="26"/>
      <c r="R48" s="27"/>
    </row>
    <row r="50" spans="2:11">
      <c r="B50" s="13" t="s">
        <v>156</v>
      </c>
      <c r="C50" s="13"/>
    </row>
    <row r="51" spans="2:11">
      <c r="B51" t="s">
        <v>157</v>
      </c>
      <c r="E51">
        <f>143750/10000</f>
        <v>14.375</v>
      </c>
      <c r="F51" t="s">
        <v>151</v>
      </c>
      <c r="G51" s="28">
        <v>143750</v>
      </c>
    </row>
    <row r="52" spans="2:11">
      <c r="G52" s="3">
        <v>10000</v>
      </c>
    </row>
    <row r="53" spans="2:11">
      <c r="B53" t="s">
        <v>158</v>
      </c>
      <c r="E53" s="29">
        <f>E51*30000*5%</f>
        <v>21562.5</v>
      </c>
    </row>
    <row r="55" spans="2:11">
      <c r="B55" s="13" t="s">
        <v>159</v>
      </c>
      <c r="C55" s="13"/>
    </row>
    <row r="56" spans="2:11">
      <c r="F56" s="14"/>
    </row>
    <row r="57" spans="2:11">
      <c r="B57" t="s">
        <v>160</v>
      </c>
      <c r="F57" s="14"/>
    </row>
    <row r="58" spans="2:11">
      <c r="F58" s="14">
        <f>30000+50000+65000+100000+100000+11250+143750</f>
        <v>500000</v>
      </c>
      <c r="K58" t="s">
        <v>161</v>
      </c>
    </row>
    <row r="59" spans="2:11">
      <c r="C59" t="s">
        <v>162</v>
      </c>
      <c r="F59" s="14">
        <f>50000+50000*5%*3</f>
        <v>57500</v>
      </c>
    </row>
    <row r="60" spans="2:11">
      <c r="C60" t="s">
        <v>163</v>
      </c>
      <c r="F60" s="15">
        <v>65000</v>
      </c>
    </row>
    <row r="61" spans="2:11">
      <c r="C61" t="s">
        <v>164</v>
      </c>
      <c r="F61" s="14">
        <f>F58-F59-F60</f>
        <v>377500</v>
      </c>
    </row>
    <row r="62" spans="2:11">
      <c r="F62" s="14"/>
    </row>
    <row r="63" spans="2:11">
      <c r="C63" t="s">
        <v>165</v>
      </c>
      <c r="F63" s="14">
        <f>(150000*8/10-150000)*75%</f>
        <v>-22500</v>
      </c>
      <c r="K63" t="s">
        <v>166</v>
      </c>
    </row>
    <row r="64" spans="2:11">
      <c r="F64" s="15"/>
    </row>
    <row r="65" spans="2:14">
      <c r="C65" t="s">
        <v>167</v>
      </c>
      <c r="F65" s="14">
        <f>F61+F63</f>
        <v>355000</v>
      </c>
    </row>
    <row r="67" spans="2:14">
      <c r="C67" s="13" t="s">
        <v>168</v>
      </c>
      <c r="D67" s="13"/>
      <c r="L67" t="s">
        <v>169</v>
      </c>
      <c r="N67" s="4">
        <v>0.25</v>
      </c>
    </row>
    <row r="69" spans="2:14" ht="15">
      <c r="B69" s="30"/>
      <c r="C69" s="31">
        <v>40544</v>
      </c>
      <c r="D69" s="30" t="s">
        <v>170</v>
      </c>
      <c r="E69" s="31">
        <v>40908</v>
      </c>
      <c r="F69" s="30" t="s">
        <v>170</v>
      </c>
      <c r="G69" s="31">
        <v>41274</v>
      </c>
      <c r="H69" s="30" t="s">
        <v>170</v>
      </c>
      <c r="I69" s="31">
        <v>41639</v>
      </c>
    </row>
    <row r="70" spans="2:14">
      <c r="B70" s="32" t="s">
        <v>171</v>
      </c>
      <c r="C70" s="33">
        <f>(105000-75000)*28.75%</f>
        <v>8625</v>
      </c>
      <c r="D70" s="33">
        <f>E70-C70</f>
        <v>0</v>
      </c>
      <c r="E70" s="33">
        <f>C70</f>
        <v>8625</v>
      </c>
      <c r="F70" s="33">
        <f>-E70</f>
        <v>-8625</v>
      </c>
      <c r="G70" s="33">
        <f>F70+E70</f>
        <v>0</v>
      </c>
      <c r="H70" s="33">
        <v>0</v>
      </c>
      <c r="I70" s="33">
        <v>0</v>
      </c>
      <c r="J70" s="14"/>
    </row>
    <row r="71" spans="2:14">
      <c r="B71" s="32" t="s">
        <v>172</v>
      </c>
      <c r="C71" s="33">
        <f>-C70*25%</f>
        <v>-2156.25</v>
      </c>
      <c r="D71" s="33">
        <f>E71-C71</f>
        <v>0</v>
      </c>
      <c r="E71" s="33">
        <f>C71</f>
        <v>-2156.25</v>
      </c>
      <c r="F71" s="33">
        <f>-E71</f>
        <v>2156.25</v>
      </c>
      <c r="G71" s="33">
        <f>F71+E71</f>
        <v>0</v>
      </c>
      <c r="H71" s="33">
        <v>0</v>
      </c>
      <c r="I71" s="33">
        <v>0</v>
      </c>
      <c r="J71" s="14"/>
    </row>
    <row r="72" spans="2:14">
      <c r="B72" s="32" t="s">
        <v>173</v>
      </c>
      <c r="C72" s="33">
        <f>H87*28.75%</f>
        <v>1566.3</v>
      </c>
      <c r="D72" s="33">
        <f>E72-C72</f>
        <v>-497.08750000000009</v>
      </c>
      <c r="E72" s="33">
        <f>H89*28.75%</f>
        <v>1069.2124999999999</v>
      </c>
      <c r="F72" s="33">
        <f>G72-E72</f>
        <v>-932.29062499999986</v>
      </c>
      <c r="G72" s="33">
        <f>H91*28.75%*25%</f>
        <v>136.921875</v>
      </c>
      <c r="H72" s="33">
        <f>I72-G72</f>
        <v>-136.921875</v>
      </c>
      <c r="I72" s="33">
        <v>0</v>
      </c>
      <c r="J72" s="14"/>
    </row>
    <row r="73" spans="2:14">
      <c r="B73" s="32" t="s">
        <v>172</v>
      </c>
      <c r="C73" s="33">
        <f t="shared" ref="C73:I73" si="0">-C72*מס</f>
        <v>-391.57499999999999</v>
      </c>
      <c r="D73" s="33">
        <f t="shared" si="0"/>
        <v>124.27187500000002</v>
      </c>
      <c r="E73" s="33">
        <f t="shared" si="0"/>
        <v>-267.30312499999997</v>
      </c>
      <c r="F73" s="33">
        <f t="shared" si="0"/>
        <v>233.07265624999997</v>
      </c>
      <c r="G73" s="33">
        <f t="shared" si="0"/>
        <v>-34.23046875</v>
      </c>
      <c r="H73" s="33">
        <f t="shared" si="0"/>
        <v>34.23046875</v>
      </c>
      <c r="I73" s="33">
        <f t="shared" si="0"/>
        <v>0</v>
      </c>
      <c r="J73" s="14"/>
    </row>
    <row r="74" spans="2:14">
      <c r="B74" s="32" t="s">
        <v>174</v>
      </c>
      <c r="C74" s="33">
        <f>E99*28.75%</f>
        <v>29899.999999999996</v>
      </c>
      <c r="D74" s="33">
        <f>E74-C74</f>
        <v>-13799.999999999998</v>
      </c>
      <c r="E74" s="33">
        <f>E110</f>
        <v>16099.999999999998</v>
      </c>
      <c r="F74" s="33">
        <f>G74-E74</f>
        <v>10477.777777777794</v>
      </c>
      <c r="G74" s="33">
        <f>E120</f>
        <v>26577.777777777792</v>
      </c>
      <c r="H74" s="33">
        <f>I74-G74</f>
        <v>-26577.777777777792</v>
      </c>
      <c r="I74" s="33">
        <f>E130</f>
        <v>0</v>
      </c>
      <c r="J74" s="14"/>
    </row>
    <row r="75" spans="2:14">
      <c r="B75" s="32" t="s">
        <v>172</v>
      </c>
      <c r="C75" s="33">
        <f t="shared" ref="C75:I75" si="1">-C74*מס</f>
        <v>-7474.9999999999991</v>
      </c>
      <c r="D75" s="33">
        <f t="shared" si="1"/>
        <v>3449.9999999999995</v>
      </c>
      <c r="E75" s="33">
        <f t="shared" si="1"/>
        <v>-4024.9999999999995</v>
      </c>
      <c r="F75" s="33">
        <f t="shared" si="1"/>
        <v>-2619.4444444444484</v>
      </c>
      <c r="G75" s="33">
        <f t="shared" si="1"/>
        <v>-6644.444444444448</v>
      </c>
      <c r="H75" s="33">
        <f t="shared" si="1"/>
        <v>6644.444444444448</v>
      </c>
      <c r="I75" s="33">
        <f t="shared" si="1"/>
        <v>0</v>
      </c>
      <c r="J75" s="14"/>
    </row>
    <row r="76" spans="2:14">
      <c r="B76" s="32" t="s">
        <v>175</v>
      </c>
      <c r="C76" s="33">
        <f>(150000-150000*8/10)*28.75%</f>
        <v>8625</v>
      </c>
      <c r="D76" s="33">
        <f>E76-C76</f>
        <v>-1078.125</v>
      </c>
      <c r="E76" s="33">
        <f>C76*7/8</f>
        <v>7546.875</v>
      </c>
      <c r="F76" s="33">
        <f>G76-E76</f>
        <v>-1078.125</v>
      </c>
      <c r="G76" s="33">
        <f>C76*6/8</f>
        <v>6468.75</v>
      </c>
      <c r="H76" s="33">
        <f>I76-G76</f>
        <v>-1078.125</v>
      </c>
      <c r="I76" s="33">
        <f>C76*5/8</f>
        <v>5390.625</v>
      </c>
      <c r="J76" s="14"/>
    </row>
    <row r="77" spans="2:14">
      <c r="B77" s="32" t="s">
        <v>172</v>
      </c>
      <c r="C77" s="33">
        <f t="shared" ref="C77:I77" si="2">-C76*מס</f>
        <v>-2156.25</v>
      </c>
      <c r="D77" s="33">
        <f t="shared" si="2"/>
        <v>269.53125</v>
      </c>
      <c r="E77" s="33">
        <f t="shared" si="2"/>
        <v>-1886.71875</v>
      </c>
      <c r="F77" s="33">
        <f t="shared" si="2"/>
        <v>269.53125</v>
      </c>
      <c r="G77" s="33">
        <f t="shared" si="2"/>
        <v>-1617.1875</v>
      </c>
      <c r="H77" s="33">
        <f t="shared" si="2"/>
        <v>269.53125</v>
      </c>
      <c r="I77" s="33">
        <f t="shared" si="2"/>
        <v>-1347.65625</v>
      </c>
      <c r="J77" s="14"/>
    </row>
    <row r="78" spans="2:14" ht="15" thickBot="1">
      <c r="B78" s="32" t="s">
        <v>176</v>
      </c>
      <c r="C78" s="34">
        <f>C79-SUM(C70:C77)</f>
        <v>26712.775000000016</v>
      </c>
      <c r="D78" s="34">
        <f>E78-C78</f>
        <v>0</v>
      </c>
      <c r="E78" s="34">
        <v>26712.775000000016</v>
      </c>
      <c r="F78" s="34">
        <f>G78-E78</f>
        <v>0</v>
      </c>
      <c r="G78" s="34">
        <v>26712.775000000016</v>
      </c>
      <c r="H78" s="34">
        <f>I78-G78</f>
        <v>0</v>
      </c>
      <c r="I78" s="34">
        <v>26712.775000000016</v>
      </c>
      <c r="J78" s="14"/>
    </row>
    <row r="79" spans="2:14">
      <c r="B79" s="32" t="s">
        <v>11</v>
      </c>
      <c r="C79" s="35">
        <f>D48</f>
        <v>63250.000000000015</v>
      </c>
      <c r="D79" s="35">
        <f t="shared" ref="D79:I79" si="3">SUM(D70:D78)</f>
        <v>-11531.409374999997</v>
      </c>
      <c r="E79" s="35">
        <f t="shared" si="3"/>
        <v>51718.590625000012</v>
      </c>
      <c r="F79" s="35">
        <f t="shared" si="3"/>
        <v>-118.22838541665396</v>
      </c>
      <c r="G79" s="35">
        <f t="shared" si="3"/>
        <v>51600.362239583359</v>
      </c>
      <c r="H79" s="35">
        <f t="shared" si="3"/>
        <v>-20844.618489583343</v>
      </c>
      <c r="I79" s="35">
        <f t="shared" si="3"/>
        <v>30755.743750000016</v>
      </c>
      <c r="J79" s="14"/>
    </row>
    <row r="80" spans="2:14">
      <c r="C80" s="14"/>
      <c r="D80" s="14"/>
      <c r="E80" s="14"/>
      <c r="F80" s="14"/>
      <c r="G80" s="14"/>
      <c r="H80" s="14"/>
      <c r="I80" s="14"/>
      <c r="J80" s="14"/>
    </row>
    <row r="81" spans="2:12">
      <c r="B81" s="13" t="s">
        <v>177</v>
      </c>
      <c r="H81" t="s">
        <v>178</v>
      </c>
    </row>
    <row r="84" spans="2:12">
      <c r="D84" t="s">
        <v>179</v>
      </c>
      <c r="F84" t="s">
        <v>180</v>
      </c>
      <c r="H84" t="s">
        <v>181</v>
      </c>
    </row>
    <row r="85" spans="2:12">
      <c r="D85" s="36" t="s">
        <v>182</v>
      </c>
      <c r="F85" s="36" t="s">
        <v>183</v>
      </c>
      <c r="H85" s="36"/>
    </row>
    <row r="87" spans="2:12">
      <c r="B87" s="16">
        <v>40544</v>
      </c>
      <c r="D87" s="14">
        <v>102775</v>
      </c>
      <c r="E87" s="14"/>
      <c r="F87" s="14">
        <v>97327</v>
      </c>
      <c r="G87" s="14"/>
      <c r="H87" s="14">
        <f>D87-F87</f>
        <v>5448</v>
      </c>
    </row>
    <row r="88" spans="2:12">
      <c r="B88" s="16"/>
      <c r="D88" s="14"/>
      <c r="E88" s="14"/>
      <c r="F88" s="14"/>
      <c r="G88" s="14"/>
      <c r="H88" s="14"/>
    </row>
    <row r="89" spans="2:12">
      <c r="B89" s="16">
        <v>40908</v>
      </c>
      <c r="D89" s="14">
        <v>101886</v>
      </c>
      <c r="E89" s="14"/>
      <c r="F89" s="14">
        <v>98167</v>
      </c>
      <c r="G89" s="14"/>
      <c r="H89" s="14">
        <f>D89-F89</f>
        <v>3719</v>
      </c>
    </row>
    <row r="90" spans="2:12">
      <c r="B90" s="16"/>
      <c r="D90" s="14"/>
      <c r="E90" s="14"/>
      <c r="F90" s="14"/>
      <c r="G90" s="14"/>
      <c r="H90" s="14"/>
    </row>
    <row r="91" spans="2:12">
      <c r="B91" s="16">
        <v>41274</v>
      </c>
      <c r="D91" s="14">
        <v>100962</v>
      </c>
      <c r="E91" s="14"/>
      <c r="F91" s="14">
        <v>99057</v>
      </c>
      <c r="G91" s="14"/>
      <c r="H91" s="14">
        <f>D91-F91</f>
        <v>1905</v>
      </c>
    </row>
    <row r="92" spans="2:12">
      <c r="B92" s="16"/>
      <c r="D92" s="14"/>
      <c r="E92" s="14"/>
      <c r="F92" s="14"/>
      <c r="G92" s="14"/>
      <c r="H92" s="14"/>
    </row>
    <row r="93" spans="2:12">
      <c r="B93" s="16">
        <v>41639</v>
      </c>
      <c r="D93" s="14">
        <v>0</v>
      </c>
      <c r="E93" s="14"/>
      <c r="F93" s="14">
        <v>0</v>
      </c>
      <c r="G93" s="14"/>
      <c r="H93" s="14">
        <f>D93-F93</f>
        <v>0</v>
      </c>
    </row>
    <row r="94" spans="2:12">
      <c r="D94" s="14"/>
      <c r="E94" s="14"/>
      <c r="F94" s="14"/>
      <c r="G94" s="14"/>
      <c r="H94" s="14"/>
    </row>
    <row r="95" spans="2:12">
      <c r="D95" s="14"/>
      <c r="E95" s="14"/>
      <c r="F95" s="14"/>
      <c r="G95" s="14"/>
      <c r="H95" s="14"/>
    </row>
    <row r="96" spans="2:12">
      <c r="B96" s="13" t="s">
        <v>174</v>
      </c>
      <c r="D96" s="14"/>
      <c r="E96" s="14"/>
      <c r="F96" s="14"/>
      <c r="G96" s="14"/>
      <c r="H96" s="14"/>
      <c r="I96" s="14"/>
      <c r="J96" s="14"/>
      <c r="K96" s="14"/>
      <c r="L96" s="14"/>
    </row>
    <row r="97" spans="2:12">
      <c r="C97" t="s">
        <v>184</v>
      </c>
      <c r="E97" s="14">
        <f>(1300000*4/5)*18/20</f>
        <v>936000</v>
      </c>
      <c r="F97" s="14"/>
      <c r="G97" s="14"/>
      <c r="H97" s="14"/>
      <c r="I97" s="14"/>
      <c r="J97" s="14"/>
      <c r="K97" s="14"/>
      <c r="L97" s="14"/>
    </row>
    <row r="98" spans="2:12">
      <c r="C98" t="s">
        <v>185</v>
      </c>
      <c r="E98" s="15">
        <f>(1300000*4/5)</f>
        <v>1040000</v>
      </c>
      <c r="F98" s="14"/>
      <c r="G98" s="14"/>
      <c r="H98" s="14"/>
      <c r="I98" s="14"/>
      <c r="J98" s="14"/>
      <c r="K98" s="14"/>
      <c r="L98" s="14"/>
    </row>
    <row r="99" spans="2:12">
      <c r="E99" s="14">
        <f>E98-E97</f>
        <v>104000</v>
      </c>
      <c r="F99" s="14"/>
      <c r="G99" s="14"/>
      <c r="H99" s="14"/>
      <c r="I99" s="14"/>
      <c r="J99" s="14"/>
      <c r="K99" s="14"/>
      <c r="L99" s="14"/>
    </row>
    <row r="100" spans="2:12">
      <c r="E100" s="14"/>
      <c r="F100" s="14"/>
      <c r="G100" s="14"/>
      <c r="H100" s="14"/>
      <c r="I100" s="14"/>
      <c r="J100" s="14"/>
      <c r="K100" s="14"/>
      <c r="L100" s="14"/>
    </row>
    <row r="101" spans="2:12">
      <c r="E101" s="14"/>
      <c r="F101" s="14"/>
      <c r="G101" s="14"/>
      <c r="H101" s="14"/>
      <c r="I101" s="14"/>
      <c r="J101" s="14"/>
      <c r="K101" s="14"/>
      <c r="L101" s="14"/>
    </row>
    <row r="102" spans="2:12">
      <c r="B102" s="13" t="s">
        <v>186</v>
      </c>
      <c r="C102" s="13"/>
      <c r="D102" s="13"/>
      <c r="E102" s="14"/>
      <c r="F102" s="14"/>
      <c r="G102" s="14"/>
      <c r="H102" s="14"/>
      <c r="I102" s="14"/>
      <c r="J102" s="14"/>
      <c r="K102" s="14"/>
      <c r="L102" s="14"/>
    </row>
    <row r="103" spans="2:12">
      <c r="E103" s="14"/>
      <c r="F103" s="14"/>
      <c r="G103" s="14"/>
      <c r="H103" s="14"/>
      <c r="I103" s="14"/>
      <c r="J103" s="14"/>
      <c r="K103" s="14"/>
      <c r="L103" s="14"/>
    </row>
    <row r="104" spans="2:12">
      <c r="C104" t="s">
        <v>187</v>
      </c>
      <c r="D104" t="s">
        <v>188</v>
      </c>
      <c r="E104" s="14">
        <f>(1300000*4/5)*17/20</f>
        <v>884000</v>
      </c>
      <c r="F104" s="14"/>
      <c r="G104" s="14"/>
      <c r="H104" s="14"/>
      <c r="I104" s="14"/>
      <c r="J104" s="14"/>
      <c r="K104" s="14"/>
      <c r="L104" s="14"/>
    </row>
    <row r="105" spans="2:12">
      <c r="D105" t="s">
        <v>189</v>
      </c>
      <c r="E105" s="14">
        <f>1200000-1300000*1/5</f>
        <v>940000</v>
      </c>
      <c r="F105" s="14"/>
      <c r="G105" s="14"/>
      <c r="H105" s="14"/>
      <c r="I105" s="14"/>
      <c r="J105" s="14"/>
      <c r="K105" s="14"/>
      <c r="L105" s="14"/>
    </row>
    <row r="106" spans="2:12">
      <c r="E106" s="14"/>
      <c r="F106" s="14"/>
      <c r="G106" s="14"/>
      <c r="H106" s="14"/>
      <c r="I106" s="14"/>
      <c r="J106" s="14"/>
      <c r="K106" s="14"/>
      <c r="L106" s="14"/>
    </row>
    <row r="107" spans="2:12">
      <c r="C107" t="s">
        <v>190</v>
      </c>
      <c r="D107" t="s">
        <v>188</v>
      </c>
      <c r="E107" s="14">
        <f>(1300000*4/5)*17/18</f>
        <v>982222.22222222225</v>
      </c>
      <c r="F107" s="14"/>
      <c r="G107" s="14"/>
      <c r="H107" s="14"/>
      <c r="I107" s="14"/>
      <c r="J107" s="14"/>
      <c r="K107" s="14"/>
      <c r="L107" s="14"/>
    </row>
    <row r="108" spans="2:12">
      <c r="D108" t="s">
        <v>189</v>
      </c>
      <c r="E108" s="14">
        <f>E105</f>
        <v>940000</v>
      </c>
      <c r="F108" s="14"/>
      <c r="G108" s="14"/>
      <c r="H108" s="14"/>
      <c r="I108" s="14"/>
      <c r="J108" s="14"/>
      <c r="K108" s="14"/>
      <c r="L108" s="14"/>
    </row>
    <row r="109" spans="2:12">
      <c r="E109" s="14"/>
      <c r="F109" s="14"/>
      <c r="G109" s="14"/>
      <c r="H109" s="14"/>
      <c r="I109" s="14"/>
      <c r="J109" s="14"/>
      <c r="K109" s="14"/>
      <c r="L109" s="14"/>
    </row>
    <row r="110" spans="2:12">
      <c r="C110" t="s">
        <v>191</v>
      </c>
      <c r="E110" s="14">
        <f>(E108-E104)*28.75%</f>
        <v>16099.999999999998</v>
      </c>
      <c r="F110" s="14"/>
      <c r="G110" s="14"/>
      <c r="H110" s="14"/>
      <c r="I110" s="14"/>
      <c r="J110" s="14"/>
      <c r="K110" s="14"/>
      <c r="L110" s="14"/>
    </row>
    <row r="111" spans="2:12">
      <c r="E111" s="14"/>
      <c r="F111" s="14"/>
      <c r="G111" s="14"/>
      <c r="H111" s="14"/>
      <c r="I111" s="14"/>
      <c r="J111" s="14"/>
      <c r="K111" s="14"/>
      <c r="L111" s="14"/>
    </row>
    <row r="112" spans="2:12">
      <c r="B112" s="13" t="s">
        <v>192</v>
      </c>
      <c r="C112" s="13"/>
      <c r="D112" s="13"/>
      <c r="E112" s="14"/>
      <c r="F112" s="14"/>
      <c r="G112" s="14"/>
      <c r="H112" s="14"/>
      <c r="I112" s="14"/>
      <c r="J112" s="14"/>
      <c r="K112" s="14"/>
      <c r="L112" s="14"/>
    </row>
    <row r="113" spans="2:12">
      <c r="E113" s="14"/>
      <c r="F113" s="14"/>
      <c r="G113" s="14"/>
      <c r="H113" s="14"/>
      <c r="I113" s="14"/>
      <c r="J113" s="14"/>
      <c r="K113" s="14"/>
      <c r="L113" s="14"/>
    </row>
    <row r="114" spans="2:12">
      <c r="C114" t="s">
        <v>187</v>
      </c>
      <c r="D114" t="s">
        <v>188</v>
      </c>
      <c r="E114" s="14">
        <f>(1300000*4/5)*16/20</f>
        <v>832000</v>
      </c>
    </row>
    <row r="115" spans="2:12">
      <c r="D115" t="s">
        <v>189</v>
      </c>
      <c r="E115" s="14">
        <f>1350000-1300000*1/5</f>
        <v>1090000</v>
      </c>
    </row>
    <row r="116" spans="2:12">
      <c r="E116" s="14"/>
    </row>
    <row r="117" spans="2:12">
      <c r="C117" t="s">
        <v>190</v>
      </c>
      <c r="D117" t="s">
        <v>188</v>
      </c>
      <c r="E117" s="14">
        <f>(1300000*4/5)*16/18</f>
        <v>924444.4444444445</v>
      </c>
    </row>
    <row r="118" spans="2:12">
      <c r="D118" t="s">
        <v>189</v>
      </c>
      <c r="E118" s="14">
        <f>E115</f>
        <v>1090000</v>
      </c>
    </row>
    <row r="119" spans="2:12">
      <c r="E119" s="14"/>
    </row>
    <row r="120" spans="2:12">
      <c r="C120" t="s">
        <v>191</v>
      </c>
      <c r="E120" s="14">
        <f>(E117-E114)*28.75%</f>
        <v>26577.777777777792</v>
      </c>
    </row>
    <row r="121" spans="2:12">
      <c r="E121" s="14"/>
    </row>
    <row r="122" spans="2:12">
      <c r="B122" s="13" t="s">
        <v>193</v>
      </c>
      <c r="C122" s="13"/>
      <c r="D122" s="13"/>
      <c r="E122" s="14"/>
    </row>
    <row r="123" spans="2:12">
      <c r="E123" s="14"/>
    </row>
    <row r="124" spans="2:12">
      <c r="C124" t="s">
        <v>187</v>
      </c>
      <c r="D124" t="s">
        <v>188</v>
      </c>
      <c r="E124" s="14">
        <f>(1300000*4/5)*15/20</f>
        <v>780000</v>
      </c>
    </row>
    <row r="125" spans="2:12">
      <c r="D125" t="s">
        <v>189</v>
      </c>
      <c r="E125" s="14">
        <f>980000-1300000*1/5</f>
        <v>720000</v>
      </c>
    </row>
    <row r="126" spans="2:12">
      <c r="E126" s="14"/>
    </row>
    <row r="127" spans="2:12">
      <c r="C127" t="s">
        <v>190</v>
      </c>
      <c r="D127" t="s">
        <v>188</v>
      </c>
      <c r="E127" s="14">
        <f>(1300000*4/5)*15/18</f>
        <v>866666.66666666663</v>
      </c>
    </row>
    <row r="128" spans="2:12">
      <c r="D128" t="s">
        <v>189</v>
      </c>
      <c r="E128" s="14">
        <f>980000-1300000*1/5</f>
        <v>720000</v>
      </c>
    </row>
    <row r="129" spans="1:7">
      <c r="E129" s="14"/>
    </row>
    <row r="130" spans="1:7">
      <c r="C130" t="s">
        <v>191</v>
      </c>
      <c r="E130" s="14">
        <f>E125-E128</f>
        <v>0</v>
      </c>
    </row>
    <row r="132" spans="1:7">
      <c r="B132" s="13" t="s">
        <v>194</v>
      </c>
    </row>
    <row r="134" spans="1:7">
      <c r="B134" t="s">
        <v>195</v>
      </c>
      <c r="E134" t="s">
        <v>196</v>
      </c>
      <c r="G134">
        <f>11250/0.75</f>
        <v>15000</v>
      </c>
    </row>
    <row r="138" spans="1:7">
      <c r="A138" t="s">
        <v>197</v>
      </c>
      <c r="D138">
        <v>3</v>
      </c>
      <c r="E138" t="s">
        <v>151</v>
      </c>
      <c r="F138" s="28">
        <v>15000</v>
      </c>
    </row>
    <row r="139" spans="1:7">
      <c r="F139" s="3">
        <v>5000</v>
      </c>
    </row>
    <row r="141" spans="1:7">
      <c r="A141" t="s">
        <v>198</v>
      </c>
      <c r="D141">
        <f>9-3</f>
        <v>6</v>
      </c>
      <c r="E141" t="s">
        <v>199</v>
      </c>
    </row>
    <row r="144" spans="1:7">
      <c r="C144" t="s">
        <v>200</v>
      </c>
      <c r="E144" t="s">
        <v>200</v>
      </c>
    </row>
    <row r="145" spans="2:7">
      <c r="C145" s="13" t="s">
        <v>201</v>
      </c>
      <c r="E145" s="13" t="s">
        <v>202</v>
      </c>
    </row>
    <row r="146" spans="2:7">
      <c r="B146" s="16"/>
    </row>
    <row r="147" spans="2:7">
      <c r="B147" s="16">
        <v>40543</v>
      </c>
      <c r="C147" s="14">
        <v>11250</v>
      </c>
      <c r="D147" s="14" t="s">
        <v>46</v>
      </c>
      <c r="E147" s="14">
        <v>0</v>
      </c>
      <c r="F147" s="14"/>
    </row>
    <row r="148" spans="2:7">
      <c r="B148" s="16" t="s">
        <v>51</v>
      </c>
      <c r="C148" s="15">
        <f>C149-C147</f>
        <v>11250</v>
      </c>
      <c r="D148" s="14"/>
      <c r="E148" s="15">
        <f>C148*28.75%</f>
        <v>3234.3749999999995</v>
      </c>
      <c r="F148" s="14"/>
    </row>
    <row r="149" spans="2:7">
      <c r="B149" s="16">
        <v>40908</v>
      </c>
      <c r="C149" s="14">
        <f>5000*(12-6)*75%</f>
        <v>22500</v>
      </c>
      <c r="D149" s="14"/>
      <c r="E149" s="14">
        <f>11250*28.75%</f>
        <v>3234.3749999999995</v>
      </c>
      <c r="F149" s="14"/>
    </row>
    <row r="150" spans="2:7">
      <c r="B150" s="16" t="s">
        <v>51</v>
      </c>
      <c r="C150" s="15">
        <f>C151-C149</f>
        <v>-11250</v>
      </c>
      <c r="D150" s="14"/>
      <c r="E150" s="15">
        <f>E151-E149</f>
        <v>-3234.3749999999995</v>
      </c>
      <c r="F150" s="14"/>
    </row>
    <row r="151" spans="2:7">
      <c r="B151" s="16">
        <v>41274</v>
      </c>
      <c r="C151" s="14">
        <f>5000*(9-6)*75%</f>
        <v>11250</v>
      </c>
      <c r="D151" s="14"/>
      <c r="E151" s="14">
        <v>0</v>
      </c>
      <c r="F151" s="14"/>
    </row>
    <row r="152" spans="2:7">
      <c r="B152" s="16" t="s">
        <v>51</v>
      </c>
      <c r="C152" s="15">
        <f>C153-C151</f>
        <v>-9375</v>
      </c>
      <c r="D152" s="14"/>
      <c r="E152" s="15">
        <v>0</v>
      </c>
      <c r="F152" s="14"/>
    </row>
    <row r="153" spans="2:7">
      <c r="B153" s="16">
        <v>41621</v>
      </c>
      <c r="C153" s="14">
        <f>5000*(6.5-6)*75%</f>
        <v>1875</v>
      </c>
      <c r="D153" s="14"/>
      <c r="E153" s="14">
        <f>E152</f>
        <v>0</v>
      </c>
      <c r="F153" s="14" t="s">
        <v>203</v>
      </c>
      <c r="G153" s="37">
        <f>E154</f>
        <v>-2695.3125</v>
      </c>
    </row>
    <row r="154" spans="2:7">
      <c r="B154" s="16"/>
      <c r="C154" s="14"/>
      <c r="D154" s="14"/>
      <c r="E154" s="116">
        <f>C152*0.2875</f>
        <v>-2695.3125</v>
      </c>
      <c r="F154" s="14" t="s">
        <v>590</v>
      </c>
      <c r="G154" s="37">
        <f>G153</f>
        <v>-2695.3125</v>
      </c>
    </row>
    <row r="155" spans="2:7">
      <c r="B155" s="16"/>
      <c r="C155" s="14"/>
      <c r="D155" s="14"/>
      <c r="E155" s="14"/>
      <c r="F155" s="14"/>
    </row>
    <row r="156" spans="2:7">
      <c r="B156" s="16"/>
      <c r="F156" s="14"/>
    </row>
    <row r="157" spans="2:7">
      <c r="B157" s="16"/>
      <c r="C157" s="13" t="s">
        <v>204</v>
      </c>
      <c r="D157" s="13"/>
      <c r="E157" s="13"/>
      <c r="F157" s="14"/>
    </row>
    <row r="159" spans="2:7">
      <c r="B159" s="16">
        <v>40544</v>
      </c>
      <c r="D159">
        <f>F63</f>
        <v>-22500</v>
      </c>
    </row>
    <row r="160" spans="2:7">
      <c r="B160" t="s">
        <v>205</v>
      </c>
      <c r="D160" s="13">
        <f>D161-D159</f>
        <v>-18750</v>
      </c>
    </row>
    <row r="161" spans="2:7">
      <c r="B161" s="16">
        <v>40908</v>
      </c>
      <c r="D161">
        <f>(150000*7/10-160000)*75%</f>
        <v>-41250</v>
      </c>
    </row>
    <row r="162" spans="2:7">
      <c r="B162" t="s">
        <v>205</v>
      </c>
      <c r="D162" s="13">
        <f>D163-D161</f>
        <v>-15000</v>
      </c>
    </row>
    <row r="163" spans="2:7">
      <c r="B163" s="16">
        <v>41274</v>
      </c>
      <c r="D163">
        <f>(150000*6/10-165000)*75%</f>
        <v>-56250</v>
      </c>
    </row>
    <row r="164" spans="2:7">
      <c r="B164" t="s">
        <v>205</v>
      </c>
      <c r="D164" s="13">
        <f>D165-D163</f>
        <v>11250</v>
      </c>
    </row>
    <row r="165" spans="2:7">
      <c r="B165" s="16">
        <v>41639</v>
      </c>
      <c r="D165">
        <f>(150000*5/10-135000)*75%</f>
        <v>-45000</v>
      </c>
    </row>
    <row r="166" spans="2:7">
      <c r="B166" t="s">
        <v>205</v>
      </c>
    </row>
    <row r="168" spans="2:7">
      <c r="B168" s="13" t="s">
        <v>206</v>
      </c>
      <c r="C168" s="13"/>
    </row>
    <row r="170" spans="2:7">
      <c r="B170" t="s">
        <v>207</v>
      </c>
      <c r="C170" s="29">
        <f>(37500-35000)</f>
        <v>2500</v>
      </c>
      <c r="D170" t="s">
        <v>208</v>
      </c>
      <c r="E170" t="s">
        <v>209</v>
      </c>
    </row>
    <row r="171" spans="2:7">
      <c r="B171" t="s">
        <v>210</v>
      </c>
      <c r="C171" s="38">
        <f>(35000-22000)</f>
        <v>13000</v>
      </c>
      <c r="D171" t="s">
        <v>132</v>
      </c>
    </row>
    <row r="172" spans="2:7">
      <c r="B172" t="s">
        <v>11</v>
      </c>
      <c r="C172" s="107"/>
      <c r="D172" s="74"/>
      <c r="E172" s="106" t="s">
        <v>587</v>
      </c>
      <c r="F172" s="106"/>
      <c r="G172" s="106"/>
    </row>
    <row r="173" spans="2:7">
      <c r="E173" s="106"/>
      <c r="F173" s="106"/>
      <c r="G173" s="106"/>
    </row>
    <row r="174" spans="2:7">
      <c r="B174" s="13" t="s">
        <v>211</v>
      </c>
    </row>
    <row r="175" spans="2:7">
      <c r="B175" t="s">
        <v>212</v>
      </c>
    </row>
    <row r="176" spans="2:7" ht="15" thickBot="1"/>
    <row r="177" spans="1:6">
      <c r="B177" t="s">
        <v>213</v>
      </c>
      <c r="D177" s="14">
        <f>50000+50000*5%*0.5</f>
        <v>51250</v>
      </c>
      <c r="E177" s="18" t="s">
        <v>585</v>
      </c>
      <c r="F177" s="20"/>
    </row>
    <row r="178" spans="1:6" ht="15" thickBot="1">
      <c r="B178" t="s">
        <v>214</v>
      </c>
      <c r="D178" s="15">
        <v>61250</v>
      </c>
      <c r="E178" s="25" t="s">
        <v>586</v>
      </c>
      <c r="F178" s="27"/>
    </row>
    <row r="179" spans="1:6">
      <c r="D179" s="14">
        <f>D178-D177</f>
        <v>10000</v>
      </c>
    </row>
    <row r="180" spans="1:6">
      <c r="D180" s="39">
        <v>0.28749999999999998</v>
      </c>
    </row>
    <row r="181" spans="1:6">
      <c r="B181" t="s">
        <v>215</v>
      </c>
      <c r="D181" s="14">
        <f>D179*D180</f>
        <v>2875</v>
      </c>
    </row>
    <row r="183" spans="1:6">
      <c r="B183" s="13" t="s">
        <v>216</v>
      </c>
    </row>
    <row r="185" spans="1:6">
      <c r="B185" s="16">
        <v>40908</v>
      </c>
      <c r="C185">
        <f>I40*28.75%</f>
        <v>8625</v>
      </c>
    </row>
    <row r="188" spans="1:6">
      <c r="B188" s="16">
        <v>41274</v>
      </c>
      <c r="C188" s="13" t="s">
        <v>217</v>
      </c>
    </row>
    <row r="190" spans="1:6" ht="15" thickBot="1">
      <c r="A190" t="s">
        <v>218</v>
      </c>
    </row>
    <row r="191" spans="1:6" ht="15" thickBot="1">
      <c r="B191" s="14">
        <f>50000*5%</f>
        <v>2500</v>
      </c>
      <c r="C191" s="14"/>
      <c r="D191" s="14"/>
      <c r="E191" s="40">
        <f>11500-B191</f>
        <v>9000</v>
      </c>
    </row>
    <row r="192" spans="1:6">
      <c r="E192" t="s">
        <v>219</v>
      </c>
    </row>
    <row r="193" spans="1:16">
      <c r="B193" t="s">
        <v>220</v>
      </c>
    </row>
    <row r="195" spans="1:16">
      <c r="B195" s="16">
        <v>41639</v>
      </c>
      <c r="C195" t="s">
        <v>221</v>
      </c>
      <c r="D195" s="14">
        <v>20000</v>
      </c>
      <c r="E195" s="14"/>
      <c r="F195" s="14"/>
      <c r="G195" s="14"/>
      <c r="H195" s="14"/>
    </row>
    <row r="196" spans="1:16">
      <c r="C196" s="14"/>
      <c r="D196" s="14"/>
      <c r="E196" s="14"/>
      <c r="F196" s="14"/>
      <c r="G196" s="14"/>
      <c r="H196" s="14"/>
    </row>
    <row r="197" spans="1:16" ht="15" thickBot="1">
      <c r="C197" s="14"/>
      <c r="D197" s="14"/>
      <c r="E197" s="14"/>
      <c r="G197" s="14"/>
      <c r="H197" s="14"/>
    </row>
    <row r="198" spans="1:16" ht="15" thickBot="1">
      <c r="A198" t="s">
        <v>222</v>
      </c>
      <c r="B198" s="17">
        <f>D195-D198</f>
        <v>10250</v>
      </c>
      <c r="C198" s="14"/>
      <c r="D198" s="14">
        <f>65000*0.15</f>
        <v>9750</v>
      </c>
      <c r="E198" s="14"/>
      <c r="F198" s="14">
        <v>0</v>
      </c>
      <c r="G198" s="14"/>
      <c r="H198" s="14"/>
    </row>
    <row r="199" spans="1:16">
      <c r="B199" t="s">
        <v>223</v>
      </c>
      <c r="C199" s="14"/>
      <c r="D199" s="14" t="s">
        <v>162</v>
      </c>
      <c r="E199" s="14"/>
      <c r="F199" s="14" t="s">
        <v>224</v>
      </c>
      <c r="G199" s="14"/>
      <c r="H199" s="14"/>
    </row>
    <row r="200" spans="1:16">
      <c r="C200" s="14"/>
      <c r="D200" s="14"/>
      <c r="E200" s="14"/>
      <c r="F200" s="14"/>
      <c r="G200" s="14"/>
      <c r="H200" s="14"/>
    </row>
    <row r="201" spans="1:16">
      <c r="B201" s="13" t="s">
        <v>225</v>
      </c>
      <c r="C201" s="13"/>
      <c r="D201" s="13"/>
      <c r="E201" s="14"/>
      <c r="F201" s="14"/>
      <c r="G201" s="14" t="s">
        <v>588</v>
      </c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>
      <c r="D202" s="14"/>
      <c r="E202" s="14"/>
      <c r="F202" s="14"/>
      <c r="G202" s="14">
        <f>F34</f>
        <v>9750</v>
      </c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>
      <c r="B203" t="s">
        <v>226</v>
      </c>
      <c r="D203" s="14"/>
      <c r="E203" s="14"/>
      <c r="F203" s="14"/>
      <c r="G203" s="14" t="s">
        <v>227</v>
      </c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>
      <c r="D204" s="14"/>
      <c r="E204" s="14"/>
      <c r="F204" s="14"/>
      <c r="G204">
        <f>50000*5%</f>
        <v>2500</v>
      </c>
      <c r="H204" s="108"/>
      <c r="I204" s="108"/>
      <c r="J204" s="108"/>
      <c r="K204" s="108"/>
      <c r="L204" s="108"/>
      <c r="M204" s="14"/>
      <c r="N204" s="14"/>
      <c r="O204" s="14"/>
      <c r="P204" s="14"/>
    </row>
    <row r="205" spans="1:16" ht="15" thickBot="1">
      <c r="B205" s="16">
        <v>40544</v>
      </c>
      <c r="D205" s="14">
        <f>F58</f>
        <v>500000</v>
      </c>
      <c r="E205" s="14"/>
      <c r="F205" s="14"/>
      <c r="G205" s="14"/>
      <c r="H205" s="108"/>
      <c r="I205" s="108"/>
      <c r="J205" s="108"/>
      <c r="K205" s="108"/>
      <c r="L205" s="108"/>
      <c r="M205" s="14"/>
      <c r="N205" s="14"/>
      <c r="O205" s="14"/>
      <c r="P205" s="14"/>
    </row>
    <row r="206" spans="1:16" ht="15" thickBot="1">
      <c r="B206" t="s">
        <v>228</v>
      </c>
      <c r="D206" s="14">
        <f>C148</f>
        <v>11250</v>
      </c>
      <c r="E206" s="14"/>
      <c r="F206" s="14"/>
      <c r="G206" s="40">
        <f>D208-G204-G202</f>
        <v>37750</v>
      </c>
      <c r="H206" s="14" t="s">
        <v>229</v>
      </c>
      <c r="I206" s="14"/>
      <c r="J206" s="14"/>
      <c r="K206" s="14"/>
      <c r="L206" s="14"/>
      <c r="M206" s="14"/>
      <c r="N206" s="14"/>
      <c r="O206" s="14"/>
      <c r="P206" s="14"/>
    </row>
    <row r="207" spans="1:16" ht="15" thickBot="1">
      <c r="B207" t="s">
        <v>230</v>
      </c>
      <c r="D207" s="14">
        <f>-F30</f>
        <v>-49750</v>
      </c>
      <c r="E207" s="14"/>
      <c r="F207" s="14"/>
      <c r="G207" s="14" t="s">
        <v>588</v>
      </c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5" thickBot="1">
      <c r="B208" t="s">
        <v>231</v>
      </c>
      <c r="D208" s="40">
        <f>D209-D205-D206-D207</f>
        <v>50000</v>
      </c>
      <c r="E208" s="14"/>
      <c r="F208" s="14"/>
      <c r="G208" s="14">
        <f>E191</f>
        <v>9000</v>
      </c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2:19">
      <c r="B209" s="16">
        <v>40908</v>
      </c>
      <c r="D209" s="14">
        <v>511500</v>
      </c>
      <c r="E209" s="14"/>
      <c r="F209" s="14"/>
      <c r="G209" s="14" t="s">
        <v>227</v>
      </c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2:19">
      <c r="B210" t="s">
        <v>228</v>
      </c>
      <c r="D210" s="14">
        <f>C150</f>
        <v>-11250</v>
      </c>
      <c r="E210" s="14"/>
      <c r="F210" s="14"/>
      <c r="G210">
        <f>50000*5%</f>
        <v>2500</v>
      </c>
      <c r="H210" s="108"/>
      <c r="I210" s="108"/>
      <c r="J210" s="108"/>
      <c r="K210" s="108"/>
      <c r="L210" s="108"/>
      <c r="M210" s="108"/>
      <c r="N210" s="108"/>
      <c r="O210" s="108"/>
      <c r="P210" s="108"/>
      <c r="Q210" s="74"/>
    </row>
    <row r="211" spans="2:19" ht="15" thickBot="1">
      <c r="B211" t="s">
        <v>129</v>
      </c>
      <c r="D211" s="14">
        <f>-11500</f>
        <v>-11500</v>
      </c>
      <c r="E211" s="14"/>
      <c r="F211" s="14"/>
      <c r="J211" s="14"/>
      <c r="K211" s="14"/>
      <c r="L211" s="14"/>
      <c r="M211" s="14"/>
      <c r="N211" s="14"/>
      <c r="O211" s="14"/>
      <c r="P211" s="14"/>
    </row>
    <row r="212" spans="2:19" ht="15" thickBot="1">
      <c r="B212" t="s">
        <v>208</v>
      </c>
      <c r="D212" s="40">
        <f>D213-D209-D210-D211</f>
        <v>60000</v>
      </c>
      <c r="E212" s="14"/>
      <c r="F212" s="14"/>
      <c r="G212" s="40">
        <f>D212-G210-G208</f>
        <v>48500</v>
      </c>
      <c r="H212" s="14" t="s">
        <v>229</v>
      </c>
      <c r="I212" s="14"/>
      <c r="J212" s="14"/>
      <c r="K212" s="14"/>
      <c r="L212" s="14"/>
      <c r="M212" s="14"/>
      <c r="N212" s="14"/>
      <c r="O212" s="14"/>
      <c r="P212" s="14"/>
    </row>
    <row r="213" spans="2:19">
      <c r="B213" s="16">
        <v>41274</v>
      </c>
      <c r="D213" s="14">
        <v>548750</v>
      </c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2:19">
      <c r="B214" t="s">
        <v>228</v>
      </c>
      <c r="D214" s="14">
        <f>C152</f>
        <v>-9375</v>
      </c>
      <c r="E214" s="14"/>
      <c r="F214" s="14"/>
      <c r="G214" s="14" t="s">
        <v>588</v>
      </c>
      <c r="I214" s="14"/>
      <c r="J214" s="14"/>
      <c r="K214" s="14"/>
      <c r="L214" s="14"/>
      <c r="M214" s="14"/>
    </row>
    <row r="215" spans="2:19">
      <c r="B215" t="s">
        <v>129</v>
      </c>
      <c r="D215" s="14">
        <f>-D195</f>
        <v>-20000</v>
      </c>
      <c r="E215" s="14"/>
      <c r="F215" s="14"/>
      <c r="G215" s="37">
        <f>D198</f>
        <v>9750</v>
      </c>
      <c r="I215" s="14"/>
      <c r="J215" s="14"/>
      <c r="K215" s="14"/>
      <c r="L215" s="14"/>
      <c r="M215" s="14"/>
    </row>
    <row r="216" spans="2:19">
      <c r="B216" t="s">
        <v>232</v>
      </c>
      <c r="D216" s="14">
        <v>-61250</v>
      </c>
      <c r="E216" s="14"/>
      <c r="F216" s="14"/>
      <c r="G216" s="14" t="s">
        <v>227</v>
      </c>
      <c r="H216" s="14"/>
      <c r="I216" s="14"/>
      <c r="J216" s="14"/>
      <c r="K216" s="14"/>
      <c r="L216" s="14"/>
      <c r="M216" s="14"/>
      <c r="N216" s="74"/>
    </row>
    <row r="217" spans="2:19" ht="15" thickBot="1">
      <c r="B217" t="s">
        <v>233</v>
      </c>
      <c r="D217" s="14">
        <f>-13000+2500</f>
        <v>-10500</v>
      </c>
      <c r="E217" s="14"/>
      <c r="F217" s="14"/>
      <c r="G217">
        <f>50000*5%*1/2</f>
        <v>1250</v>
      </c>
      <c r="H217" s="14"/>
      <c r="I217" s="108"/>
      <c r="J217" s="108"/>
      <c r="K217" s="108"/>
      <c r="L217" s="108"/>
      <c r="M217" s="108"/>
      <c r="N217" s="74"/>
      <c r="O217" s="74"/>
      <c r="P217" s="74"/>
      <c r="Q217" s="74"/>
      <c r="R217" s="74"/>
      <c r="S217" s="74"/>
    </row>
    <row r="218" spans="2:19" ht="15" thickBot="1">
      <c r="B218" t="s">
        <v>234</v>
      </c>
      <c r="D218" s="40">
        <f>D219-D213-D214-D215-D217-D216</f>
        <v>131250</v>
      </c>
      <c r="E218" s="14"/>
      <c r="F218" s="14"/>
      <c r="I218" s="74"/>
      <c r="J218" s="108"/>
      <c r="K218" s="108"/>
      <c r="L218" s="108"/>
      <c r="M218" s="108"/>
      <c r="N218" s="74"/>
      <c r="O218" s="74"/>
      <c r="P218" s="74"/>
      <c r="Q218" s="74"/>
      <c r="R218" s="74"/>
      <c r="S218" s="74"/>
    </row>
    <row r="219" spans="2:19" ht="15" thickBot="1">
      <c r="B219" s="16">
        <v>41639</v>
      </c>
      <c r="D219" s="14">
        <v>578875</v>
      </c>
      <c r="E219" s="14"/>
      <c r="F219" s="14"/>
      <c r="G219" s="40">
        <f>D218-G217-G215</f>
        <v>120250</v>
      </c>
      <c r="H219" s="14" t="s">
        <v>229</v>
      </c>
      <c r="I219" s="14"/>
      <c r="J219" s="14"/>
      <c r="K219" s="14"/>
      <c r="L219" s="14"/>
      <c r="M219" s="14"/>
    </row>
    <row r="220" spans="2:19"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2:19"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2:19"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2:19"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2:19"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4:13"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4:13"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4:13"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4:13"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4:13">
      <c r="D229" s="14"/>
    </row>
    <row r="230" spans="4:13">
      <c r="D230" s="14"/>
    </row>
    <row r="231" spans="4:13">
      <c r="D231" s="14"/>
    </row>
    <row r="232" spans="4:13">
      <c r="D232" s="14"/>
    </row>
    <row r="233" spans="4:13">
      <c r="D233" s="14"/>
    </row>
    <row r="234" spans="4:13">
      <c r="D234" s="14"/>
    </row>
    <row r="235" spans="4:13">
      <c r="D235" s="14"/>
    </row>
    <row r="236" spans="4:13">
      <c r="D236" s="14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rightToLeft="1" topLeftCell="A52" workbookViewId="0">
      <selection activeCell="C82" sqref="C82"/>
    </sheetView>
  </sheetViews>
  <sheetFormatPr defaultRowHeight="12.75"/>
  <cols>
    <col min="1" max="1" width="9" style="42"/>
    <col min="2" max="2" width="22.75" style="42" customWidth="1"/>
    <col min="3" max="3" width="15.875" style="42" customWidth="1"/>
    <col min="4" max="4" width="14.5" style="42" customWidth="1"/>
    <col min="5" max="257" width="9" style="42"/>
    <col min="258" max="258" width="22.75" style="42" customWidth="1"/>
    <col min="259" max="259" width="15.875" style="42" customWidth="1"/>
    <col min="260" max="260" width="14.5" style="42" customWidth="1"/>
    <col min="261" max="513" width="9" style="42"/>
    <col min="514" max="514" width="22.75" style="42" customWidth="1"/>
    <col min="515" max="515" width="15.875" style="42" customWidth="1"/>
    <col min="516" max="516" width="14.5" style="42" customWidth="1"/>
    <col min="517" max="769" width="9" style="42"/>
    <col min="770" max="770" width="22.75" style="42" customWidth="1"/>
    <col min="771" max="771" width="15.875" style="42" customWidth="1"/>
    <col min="772" max="772" width="14.5" style="42" customWidth="1"/>
    <col min="773" max="1025" width="9" style="42"/>
    <col min="1026" max="1026" width="22.75" style="42" customWidth="1"/>
    <col min="1027" max="1027" width="15.875" style="42" customWidth="1"/>
    <col min="1028" max="1028" width="14.5" style="42" customWidth="1"/>
    <col min="1029" max="1281" width="9" style="42"/>
    <col min="1282" max="1282" width="22.75" style="42" customWidth="1"/>
    <col min="1283" max="1283" width="15.875" style="42" customWidth="1"/>
    <col min="1284" max="1284" width="14.5" style="42" customWidth="1"/>
    <col min="1285" max="1537" width="9" style="42"/>
    <col min="1538" max="1538" width="22.75" style="42" customWidth="1"/>
    <col min="1539" max="1539" width="15.875" style="42" customWidth="1"/>
    <col min="1540" max="1540" width="14.5" style="42" customWidth="1"/>
    <col min="1541" max="1793" width="9" style="42"/>
    <col min="1794" max="1794" width="22.75" style="42" customWidth="1"/>
    <col min="1795" max="1795" width="15.875" style="42" customWidth="1"/>
    <col min="1796" max="1796" width="14.5" style="42" customWidth="1"/>
    <col min="1797" max="2049" width="9" style="42"/>
    <col min="2050" max="2050" width="22.75" style="42" customWidth="1"/>
    <col min="2051" max="2051" width="15.875" style="42" customWidth="1"/>
    <col min="2052" max="2052" width="14.5" style="42" customWidth="1"/>
    <col min="2053" max="2305" width="9" style="42"/>
    <col min="2306" max="2306" width="22.75" style="42" customWidth="1"/>
    <col min="2307" max="2307" width="15.875" style="42" customWidth="1"/>
    <col min="2308" max="2308" width="14.5" style="42" customWidth="1"/>
    <col min="2309" max="2561" width="9" style="42"/>
    <col min="2562" max="2562" width="22.75" style="42" customWidth="1"/>
    <col min="2563" max="2563" width="15.875" style="42" customWidth="1"/>
    <col min="2564" max="2564" width="14.5" style="42" customWidth="1"/>
    <col min="2565" max="2817" width="9" style="42"/>
    <col min="2818" max="2818" width="22.75" style="42" customWidth="1"/>
    <col min="2819" max="2819" width="15.875" style="42" customWidth="1"/>
    <col min="2820" max="2820" width="14.5" style="42" customWidth="1"/>
    <col min="2821" max="3073" width="9" style="42"/>
    <col min="3074" max="3074" width="22.75" style="42" customWidth="1"/>
    <col min="3075" max="3075" width="15.875" style="42" customWidth="1"/>
    <col min="3076" max="3076" width="14.5" style="42" customWidth="1"/>
    <col min="3077" max="3329" width="9" style="42"/>
    <col min="3330" max="3330" width="22.75" style="42" customWidth="1"/>
    <col min="3331" max="3331" width="15.875" style="42" customWidth="1"/>
    <col min="3332" max="3332" width="14.5" style="42" customWidth="1"/>
    <col min="3333" max="3585" width="9" style="42"/>
    <col min="3586" max="3586" width="22.75" style="42" customWidth="1"/>
    <col min="3587" max="3587" width="15.875" style="42" customWidth="1"/>
    <col min="3588" max="3588" width="14.5" style="42" customWidth="1"/>
    <col min="3589" max="3841" width="9" style="42"/>
    <col min="3842" max="3842" width="22.75" style="42" customWidth="1"/>
    <col min="3843" max="3843" width="15.875" style="42" customWidth="1"/>
    <col min="3844" max="3844" width="14.5" style="42" customWidth="1"/>
    <col min="3845" max="4097" width="9" style="42"/>
    <col min="4098" max="4098" width="22.75" style="42" customWidth="1"/>
    <col min="4099" max="4099" width="15.875" style="42" customWidth="1"/>
    <col min="4100" max="4100" width="14.5" style="42" customWidth="1"/>
    <col min="4101" max="4353" width="9" style="42"/>
    <col min="4354" max="4354" width="22.75" style="42" customWidth="1"/>
    <col min="4355" max="4355" width="15.875" style="42" customWidth="1"/>
    <col min="4356" max="4356" width="14.5" style="42" customWidth="1"/>
    <col min="4357" max="4609" width="9" style="42"/>
    <col min="4610" max="4610" width="22.75" style="42" customWidth="1"/>
    <col min="4611" max="4611" width="15.875" style="42" customWidth="1"/>
    <col min="4612" max="4612" width="14.5" style="42" customWidth="1"/>
    <col min="4613" max="4865" width="9" style="42"/>
    <col min="4866" max="4866" width="22.75" style="42" customWidth="1"/>
    <col min="4867" max="4867" width="15.875" style="42" customWidth="1"/>
    <col min="4868" max="4868" width="14.5" style="42" customWidth="1"/>
    <col min="4869" max="5121" width="9" style="42"/>
    <col min="5122" max="5122" width="22.75" style="42" customWidth="1"/>
    <col min="5123" max="5123" width="15.875" style="42" customWidth="1"/>
    <col min="5124" max="5124" width="14.5" style="42" customWidth="1"/>
    <col min="5125" max="5377" width="9" style="42"/>
    <col min="5378" max="5378" width="22.75" style="42" customWidth="1"/>
    <col min="5379" max="5379" width="15.875" style="42" customWidth="1"/>
    <col min="5380" max="5380" width="14.5" style="42" customWidth="1"/>
    <col min="5381" max="5633" width="9" style="42"/>
    <col min="5634" max="5634" width="22.75" style="42" customWidth="1"/>
    <col min="5635" max="5635" width="15.875" style="42" customWidth="1"/>
    <col min="5636" max="5636" width="14.5" style="42" customWidth="1"/>
    <col min="5637" max="5889" width="9" style="42"/>
    <col min="5890" max="5890" width="22.75" style="42" customWidth="1"/>
    <col min="5891" max="5891" width="15.875" style="42" customWidth="1"/>
    <col min="5892" max="5892" width="14.5" style="42" customWidth="1"/>
    <col min="5893" max="6145" width="9" style="42"/>
    <col min="6146" max="6146" width="22.75" style="42" customWidth="1"/>
    <col min="6147" max="6147" width="15.875" style="42" customWidth="1"/>
    <col min="6148" max="6148" width="14.5" style="42" customWidth="1"/>
    <col min="6149" max="6401" width="9" style="42"/>
    <col min="6402" max="6402" width="22.75" style="42" customWidth="1"/>
    <col min="6403" max="6403" width="15.875" style="42" customWidth="1"/>
    <col min="6404" max="6404" width="14.5" style="42" customWidth="1"/>
    <col min="6405" max="6657" width="9" style="42"/>
    <col min="6658" max="6658" width="22.75" style="42" customWidth="1"/>
    <col min="6659" max="6659" width="15.875" style="42" customWidth="1"/>
    <col min="6660" max="6660" width="14.5" style="42" customWidth="1"/>
    <col min="6661" max="6913" width="9" style="42"/>
    <col min="6914" max="6914" width="22.75" style="42" customWidth="1"/>
    <col min="6915" max="6915" width="15.875" style="42" customWidth="1"/>
    <col min="6916" max="6916" width="14.5" style="42" customWidth="1"/>
    <col min="6917" max="7169" width="9" style="42"/>
    <col min="7170" max="7170" width="22.75" style="42" customWidth="1"/>
    <col min="7171" max="7171" width="15.875" style="42" customWidth="1"/>
    <col min="7172" max="7172" width="14.5" style="42" customWidth="1"/>
    <col min="7173" max="7425" width="9" style="42"/>
    <col min="7426" max="7426" width="22.75" style="42" customWidth="1"/>
    <col min="7427" max="7427" width="15.875" style="42" customWidth="1"/>
    <col min="7428" max="7428" width="14.5" style="42" customWidth="1"/>
    <col min="7429" max="7681" width="9" style="42"/>
    <col min="7682" max="7682" width="22.75" style="42" customWidth="1"/>
    <col min="7683" max="7683" width="15.875" style="42" customWidth="1"/>
    <col min="7684" max="7684" width="14.5" style="42" customWidth="1"/>
    <col min="7685" max="7937" width="9" style="42"/>
    <col min="7938" max="7938" width="22.75" style="42" customWidth="1"/>
    <col min="7939" max="7939" width="15.875" style="42" customWidth="1"/>
    <col min="7940" max="7940" width="14.5" style="42" customWidth="1"/>
    <col min="7941" max="8193" width="9" style="42"/>
    <col min="8194" max="8194" width="22.75" style="42" customWidth="1"/>
    <col min="8195" max="8195" width="15.875" style="42" customWidth="1"/>
    <col min="8196" max="8196" width="14.5" style="42" customWidth="1"/>
    <col min="8197" max="8449" width="9" style="42"/>
    <col min="8450" max="8450" width="22.75" style="42" customWidth="1"/>
    <col min="8451" max="8451" width="15.875" style="42" customWidth="1"/>
    <col min="8452" max="8452" width="14.5" style="42" customWidth="1"/>
    <col min="8453" max="8705" width="9" style="42"/>
    <col min="8706" max="8706" width="22.75" style="42" customWidth="1"/>
    <col min="8707" max="8707" width="15.875" style="42" customWidth="1"/>
    <col min="8708" max="8708" width="14.5" style="42" customWidth="1"/>
    <col min="8709" max="8961" width="9" style="42"/>
    <col min="8962" max="8962" width="22.75" style="42" customWidth="1"/>
    <col min="8963" max="8963" width="15.875" style="42" customWidth="1"/>
    <col min="8964" max="8964" width="14.5" style="42" customWidth="1"/>
    <col min="8965" max="9217" width="9" style="42"/>
    <col min="9218" max="9218" width="22.75" style="42" customWidth="1"/>
    <col min="9219" max="9219" width="15.875" style="42" customWidth="1"/>
    <col min="9220" max="9220" width="14.5" style="42" customWidth="1"/>
    <col min="9221" max="9473" width="9" style="42"/>
    <col min="9474" max="9474" width="22.75" style="42" customWidth="1"/>
    <col min="9475" max="9475" width="15.875" style="42" customWidth="1"/>
    <col min="9476" max="9476" width="14.5" style="42" customWidth="1"/>
    <col min="9477" max="9729" width="9" style="42"/>
    <col min="9730" max="9730" width="22.75" style="42" customWidth="1"/>
    <col min="9731" max="9731" width="15.875" style="42" customWidth="1"/>
    <col min="9732" max="9732" width="14.5" style="42" customWidth="1"/>
    <col min="9733" max="9985" width="9" style="42"/>
    <col min="9986" max="9986" width="22.75" style="42" customWidth="1"/>
    <col min="9987" max="9987" width="15.875" style="42" customWidth="1"/>
    <col min="9988" max="9988" width="14.5" style="42" customWidth="1"/>
    <col min="9989" max="10241" width="9" style="42"/>
    <col min="10242" max="10242" width="22.75" style="42" customWidth="1"/>
    <col min="10243" max="10243" width="15.875" style="42" customWidth="1"/>
    <col min="10244" max="10244" width="14.5" style="42" customWidth="1"/>
    <col min="10245" max="10497" width="9" style="42"/>
    <col min="10498" max="10498" width="22.75" style="42" customWidth="1"/>
    <col min="10499" max="10499" width="15.875" style="42" customWidth="1"/>
    <col min="10500" max="10500" width="14.5" style="42" customWidth="1"/>
    <col min="10501" max="10753" width="9" style="42"/>
    <col min="10754" max="10754" width="22.75" style="42" customWidth="1"/>
    <col min="10755" max="10755" width="15.875" style="42" customWidth="1"/>
    <col min="10756" max="10756" width="14.5" style="42" customWidth="1"/>
    <col min="10757" max="11009" width="9" style="42"/>
    <col min="11010" max="11010" width="22.75" style="42" customWidth="1"/>
    <col min="11011" max="11011" width="15.875" style="42" customWidth="1"/>
    <col min="11012" max="11012" width="14.5" style="42" customWidth="1"/>
    <col min="11013" max="11265" width="9" style="42"/>
    <col min="11266" max="11266" width="22.75" style="42" customWidth="1"/>
    <col min="11267" max="11267" width="15.875" style="42" customWidth="1"/>
    <col min="11268" max="11268" width="14.5" style="42" customWidth="1"/>
    <col min="11269" max="11521" width="9" style="42"/>
    <col min="11522" max="11522" width="22.75" style="42" customWidth="1"/>
    <col min="11523" max="11523" width="15.875" style="42" customWidth="1"/>
    <col min="11524" max="11524" width="14.5" style="42" customWidth="1"/>
    <col min="11525" max="11777" width="9" style="42"/>
    <col min="11778" max="11778" width="22.75" style="42" customWidth="1"/>
    <col min="11779" max="11779" width="15.875" style="42" customWidth="1"/>
    <col min="11780" max="11780" width="14.5" style="42" customWidth="1"/>
    <col min="11781" max="12033" width="9" style="42"/>
    <col min="12034" max="12034" width="22.75" style="42" customWidth="1"/>
    <col min="12035" max="12035" width="15.875" style="42" customWidth="1"/>
    <col min="12036" max="12036" width="14.5" style="42" customWidth="1"/>
    <col min="12037" max="12289" width="9" style="42"/>
    <col min="12290" max="12290" width="22.75" style="42" customWidth="1"/>
    <col min="12291" max="12291" width="15.875" style="42" customWidth="1"/>
    <col min="12292" max="12292" width="14.5" style="42" customWidth="1"/>
    <col min="12293" max="12545" width="9" style="42"/>
    <col min="12546" max="12546" width="22.75" style="42" customWidth="1"/>
    <col min="12547" max="12547" width="15.875" style="42" customWidth="1"/>
    <col min="12548" max="12548" width="14.5" style="42" customWidth="1"/>
    <col min="12549" max="12801" width="9" style="42"/>
    <col min="12802" max="12802" width="22.75" style="42" customWidth="1"/>
    <col min="12803" max="12803" width="15.875" style="42" customWidth="1"/>
    <col min="12804" max="12804" width="14.5" style="42" customWidth="1"/>
    <col min="12805" max="13057" width="9" style="42"/>
    <col min="13058" max="13058" width="22.75" style="42" customWidth="1"/>
    <col min="13059" max="13059" width="15.875" style="42" customWidth="1"/>
    <col min="13060" max="13060" width="14.5" style="42" customWidth="1"/>
    <col min="13061" max="13313" width="9" style="42"/>
    <col min="13314" max="13314" width="22.75" style="42" customWidth="1"/>
    <col min="13315" max="13315" width="15.875" style="42" customWidth="1"/>
    <col min="13316" max="13316" width="14.5" style="42" customWidth="1"/>
    <col min="13317" max="13569" width="9" style="42"/>
    <col min="13570" max="13570" width="22.75" style="42" customWidth="1"/>
    <col min="13571" max="13571" width="15.875" style="42" customWidth="1"/>
    <col min="13572" max="13572" width="14.5" style="42" customWidth="1"/>
    <col min="13573" max="13825" width="9" style="42"/>
    <col min="13826" max="13826" width="22.75" style="42" customWidth="1"/>
    <col min="13827" max="13827" width="15.875" style="42" customWidth="1"/>
    <col min="13828" max="13828" width="14.5" style="42" customWidth="1"/>
    <col min="13829" max="14081" width="9" style="42"/>
    <col min="14082" max="14082" width="22.75" style="42" customWidth="1"/>
    <col min="14083" max="14083" width="15.875" style="42" customWidth="1"/>
    <col min="14084" max="14084" width="14.5" style="42" customWidth="1"/>
    <col min="14085" max="14337" width="9" style="42"/>
    <col min="14338" max="14338" width="22.75" style="42" customWidth="1"/>
    <col min="14339" max="14339" width="15.875" style="42" customWidth="1"/>
    <col min="14340" max="14340" width="14.5" style="42" customWidth="1"/>
    <col min="14341" max="14593" width="9" style="42"/>
    <col min="14594" max="14594" width="22.75" style="42" customWidth="1"/>
    <col min="14595" max="14595" width="15.875" style="42" customWidth="1"/>
    <col min="14596" max="14596" width="14.5" style="42" customWidth="1"/>
    <col min="14597" max="14849" width="9" style="42"/>
    <col min="14850" max="14850" width="22.75" style="42" customWidth="1"/>
    <col min="14851" max="14851" width="15.875" style="42" customWidth="1"/>
    <col min="14852" max="14852" width="14.5" style="42" customWidth="1"/>
    <col min="14853" max="15105" width="9" style="42"/>
    <col min="15106" max="15106" width="22.75" style="42" customWidth="1"/>
    <col min="15107" max="15107" width="15.875" style="42" customWidth="1"/>
    <col min="15108" max="15108" width="14.5" style="42" customWidth="1"/>
    <col min="15109" max="15361" width="9" style="42"/>
    <col min="15362" max="15362" width="22.75" style="42" customWidth="1"/>
    <col min="15363" max="15363" width="15.875" style="42" customWidth="1"/>
    <col min="15364" max="15364" width="14.5" style="42" customWidth="1"/>
    <col min="15365" max="15617" width="9" style="42"/>
    <col min="15618" max="15618" width="22.75" style="42" customWidth="1"/>
    <col min="15619" max="15619" width="15.875" style="42" customWidth="1"/>
    <col min="15620" max="15620" width="14.5" style="42" customWidth="1"/>
    <col min="15621" max="15873" width="9" style="42"/>
    <col min="15874" max="15874" width="22.75" style="42" customWidth="1"/>
    <col min="15875" max="15875" width="15.875" style="42" customWidth="1"/>
    <col min="15876" max="15876" width="14.5" style="42" customWidth="1"/>
    <col min="15877" max="16129" width="9" style="42"/>
    <col min="16130" max="16130" width="22.75" style="42" customWidth="1"/>
    <col min="16131" max="16131" width="15.875" style="42" customWidth="1"/>
    <col min="16132" max="16132" width="14.5" style="42" customWidth="1"/>
    <col min="16133" max="16384" width="9" style="42"/>
  </cols>
  <sheetData>
    <row r="2" spans="1:4">
      <c r="A2" s="104" t="s">
        <v>235</v>
      </c>
      <c r="B2" s="112" t="s">
        <v>236</v>
      </c>
      <c r="C2" s="112"/>
    </row>
    <row r="3" spans="1:4">
      <c r="A3" s="43">
        <v>1</v>
      </c>
      <c r="B3" s="105" t="s">
        <v>237</v>
      </c>
      <c r="C3" s="45">
        <v>60000</v>
      </c>
      <c r="D3" s="105"/>
    </row>
    <row r="4" spans="1:4">
      <c r="A4" s="43"/>
      <c r="B4" s="105" t="s">
        <v>238</v>
      </c>
      <c r="C4" s="45">
        <f>50000*0.3</f>
        <v>15000</v>
      </c>
      <c r="D4" s="105"/>
    </row>
    <row r="5" spans="1:4">
      <c r="A5" s="43"/>
      <c r="B5" s="105" t="s">
        <v>239</v>
      </c>
      <c r="C5" s="45">
        <f>-2400*0.75*2/3</f>
        <v>-1200</v>
      </c>
      <c r="D5" s="105"/>
    </row>
    <row r="6" spans="1:4">
      <c r="A6" s="43"/>
      <c r="B6" s="105" t="s">
        <v>240</v>
      </c>
      <c r="C6" s="45">
        <f>-2250*0.75*0.5/6.5</f>
        <v>-129.80769230769232</v>
      </c>
      <c r="D6" s="105"/>
    </row>
    <row r="7" spans="1:4">
      <c r="A7" s="43">
        <v>2</v>
      </c>
      <c r="B7" s="103" t="s">
        <v>241</v>
      </c>
      <c r="C7" s="45"/>
      <c r="D7" s="105"/>
    </row>
    <row r="8" spans="1:4">
      <c r="A8" s="43"/>
      <c r="B8" s="105" t="s">
        <v>242</v>
      </c>
      <c r="C8" s="45">
        <f>-2250*0.75*6/6.5</f>
        <v>-1557.6923076923076</v>
      </c>
      <c r="D8" s="105"/>
    </row>
    <row r="9" spans="1:4">
      <c r="A9" s="43"/>
      <c r="B9" s="105" t="s">
        <v>243</v>
      </c>
      <c r="C9" s="45">
        <f>-(100000-105000*6/6.5)*0.3*0.75</f>
        <v>-692.30769230769249</v>
      </c>
      <c r="D9" s="105"/>
    </row>
    <row r="10" spans="1:4">
      <c r="A10" s="43"/>
      <c r="B10" s="105" t="s">
        <v>244</v>
      </c>
      <c r="C10" s="47">
        <f>692*0.5/6</f>
        <v>57.666666666666664</v>
      </c>
      <c r="D10" s="105"/>
    </row>
    <row r="11" spans="1:4">
      <c r="A11" s="43"/>
      <c r="B11" s="43" t="s">
        <v>245</v>
      </c>
      <c r="C11" s="48">
        <f>SUM(C3:C10)</f>
        <v>71477.858974358984</v>
      </c>
      <c r="D11" s="105"/>
    </row>
    <row r="12" spans="1:4">
      <c r="A12" s="43"/>
      <c r="B12" s="105" t="s">
        <v>246</v>
      </c>
      <c r="C12" s="45">
        <f>80000*0.3*10/12</f>
        <v>20000</v>
      </c>
      <c r="D12" s="105"/>
    </row>
    <row r="13" spans="1:4">
      <c r="A13" s="43"/>
      <c r="B13" s="105" t="s">
        <v>239</v>
      </c>
      <c r="C13" s="45">
        <f>-2400*0.75*1/3</f>
        <v>-600</v>
      </c>
      <c r="D13" s="105"/>
    </row>
    <row r="14" spans="1:4">
      <c r="A14" s="43"/>
      <c r="B14" s="105" t="s">
        <v>247</v>
      </c>
      <c r="C14" s="45">
        <f>692*1/6*10/12</f>
        <v>96.1111111111111</v>
      </c>
      <c r="D14" s="105"/>
    </row>
    <row r="15" spans="1:4">
      <c r="A15" s="43"/>
      <c r="B15" s="105" t="s">
        <v>248</v>
      </c>
      <c r="C15" s="45">
        <f>-35000*0.3*0.3*0.45*0.75</f>
        <v>-1063.125</v>
      </c>
      <c r="D15" s="105"/>
    </row>
    <row r="16" spans="1:4">
      <c r="A16" s="43"/>
      <c r="B16" s="105" t="s">
        <v>249</v>
      </c>
      <c r="C16" s="45">
        <f>1063*6/12</f>
        <v>531.5</v>
      </c>
      <c r="D16" s="105"/>
    </row>
    <row r="17" spans="1:4">
      <c r="A17" s="43"/>
      <c r="B17" s="105" t="s">
        <v>250</v>
      </c>
      <c r="C17" s="45">
        <f>1063*6/12*0.1/0.45</f>
        <v>118.11111111111111</v>
      </c>
      <c r="D17" s="105"/>
    </row>
    <row r="18" spans="1:4">
      <c r="A18" s="43"/>
      <c r="B18" s="105" t="s">
        <v>251</v>
      </c>
      <c r="C18" s="47">
        <f>1063*6/12*0.35/0.45*4/6</f>
        <v>275.59259259259255</v>
      </c>
      <c r="D18" s="105"/>
    </row>
    <row r="19" spans="1:4">
      <c r="A19" s="43"/>
      <c r="B19" s="43" t="s">
        <v>252</v>
      </c>
      <c r="C19" s="48">
        <f>SUM(C11:C18)</f>
        <v>90836.048789173801</v>
      </c>
      <c r="D19" s="105"/>
    </row>
    <row r="20" spans="1:4">
      <c r="A20" s="43">
        <v>3</v>
      </c>
      <c r="B20" s="101" t="s">
        <v>253</v>
      </c>
      <c r="C20" s="102">
        <v>15000</v>
      </c>
      <c r="D20" s="101"/>
    </row>
    <row r="21" spans="1:4">
      <c r="A21" s="43"/>
      <c r="B21" s="101" t="s">
        <v>254</v>
      </c>
      <c r="C21" s="102">
        <f>80000*0.37*2/12</f>
        <v>4933.333333333333</v>
      </c>
      <c r="D21" s="101"/>
    </row>
    <row r="22" spans="1:4">
      <c r="A22" s="43"/>
      <c r="B22" s="105" t="s">
        <v>255</v>
      </c>
      <c r="C22" s="45">
        <f>692*1/6*2/12</f>
        <v>19.222222222222221</v>
      </c>
      <c r="D22" s="105"/>
    </row>
    <row r="23" spans="1:4">
      <c r="A23" s="43"/>
      <c r="B23" s="105" t="s">
        <v>256</v>
      </c>
      <c r="C23" s="47">
        <f>1063*6/12*0.35/0.45*2/6</f>
        <v>137.79629629629628</v>
      </c>
      <c r="D23" s="105"/>
    </row>
    <row r="24" spans="1:4">
      <c r="A24" s="43"/>
      <c r="B24" s="43" t="s">
        <v>257</v>
      </c>
      <c r="C24" s="48">
        <f>SUM(C19:C23)</f>
        <v>110926.40064102564</v>
      </c>
      <c r="D24" s="105"/>
    </row>
    <row r="25" spans="1:4">
      <c r="A25" s="43"/>
      <c r="B25" s="105" t="s">
        <v>238</v>
      </c>
      <c r="C25" s="45">
        <f>120000*0.37</f>
        <v>44400</v>
      </c>
      <c r="D25" s="105"/>
    </row>
    <row r="26" spans="1:4">
      <c r="A26" s="43">
        <v>4</v>
      </c>
      <c r="B26" s="105" t="s">
        <v>244</v>
      </c>
      <c r="C26" s="47">
        <f>692*4.5/6</f>
        <v>519</v>
      </c>
      <c r="D26" s="105"/>
    </row>
    <row r="27" spans="1:4">
      <c r="A27" s="43"/>
      <c r="B27" s="43" t="s">
        <v>258</v>
      </c>
      <c r="C27" s="48">
        <f>SUM(C24:C26)</f>
        <v>155845.40064102563</v>
      </c>
      <c r="D27" s="105"/>
    </row>
    <row r="28" spans="1:4">
      <c r="B28" s="105"/>
      <c r="C28" s="45"/>
      <c r="D28" s="105"/>
    </row>
    <row r="29" spans="1:4">
      <c r="B29" s="105"/>
      <c r="C29" s="45"/>
      <c r="D29" s="105"/>
    </row>
    <row r="30" spans="1:4">
      <c r="B30" s="105"/>
      <c r="C30" s="45"/>
      <c r="D30" s="105"/>
    </row>
    <row r="31" spans="1:4">
      <c r="B31" s="112" t="s">
        <v>235</v>
      </c>
      <c r="C31" s="112"/>
      <c r="D31" s="105"/>
    </row>
    <row r="32" spans="1:4">
      <c r="B32" s="105"/>
      <c r="C32" s="105"/>
      <c r="D32" s="105"/>
    </row>
    <row r="33" spans="1:4">
      <c r="A33" s="43">
        <v>1</v>
      </c>
      <c r="B33" s="113" t="s">
        <v>259</v>
      </c>
      <c r="C33" s="114"/>
      <c r="D33" s="105"/>
    </row>
    <row r="34" spans="1:4">
      <c r="B34" s="105" t="s">
        <v>149</v>
      </c>
      <c r="C34" s="45">
        <v>60000</v>
      </c>
      <c r="D34" s="105"/>
    </row>
    <row r="35" spans="1:4">
      <c r="B35" s="105" t="s">
        <v>260</v>
      </c>
      <c r="C35" s="47">
        <f>-80000*0.3</f>
        <v>-24000</v>
      </c>
      <c r="D35" s="105"/>
    </row>
    <row r="36" spans="1:4">
      <c r="B36" s="105" t="s">
        <v>261</v>
      </c>
      <c r="C36" s="45">
        <f>SUM(C34:C35)</f>
        <v>36000</v>
      </c>
      <c r="D36" s="105"/>
    </row>
    <row r="37" spans="1:4">
      <c r="B37" s="105"/>
      <c r="C37" s="45"/>
    </row>
    <row r="38" spans="1:4">
      <c r="B38" s="103" t="s">
        <v>262</v>
      </c>
      <c r="C38" s="45"/>
    </row>
    <row r="39" spans="1:4">
      <c r="B39" s="105" t="s">
        <v>263</v>
      </c>
      <c r="C39" s="45">
        <f>(48000-40000)*0.3</f>
        <v>2400</v>
      </c>
    </row>
    <row r="40" spans="1:4">
      <c r="B40" s="105" t="s">
        <v>264</v>
      </c>
      <c r="C40" s="45">
        <f>-C39*0.25</f>
        <v>-600</v>
      </c>
    </row>
    <row r="41" spans="1:4">
      <c r="B41" s="105" t="s">
        <v>265</v>
      </c>
      <c r="C41" s="45">
        <f>(105000-120000*6.5/8)*0.3</f>
        <v>2250</v>
      </c>
    </row>
    <row r="42" spans="1:4">
      <c r="B42" s="105" t="s">
        <v>264</v>
      </c>
      <c r="C42" s="45">
        <f>-C41*0.25</f>
        <v>-562.5</v>
      </c>
    </row>
    <row r="43" spans="1:4">
      <c r="B43" s="105" t="s">
        <v>176</v>
      </c>
      <c r="C43" s="47">
        <f>C44-SUM(C39:C42)</f>
        <v>32512.5</v>
      </c>
    </row>
    <row r="44" spans="1:4">
      <c r="B44" s="43" t="s">
        <v>261</v>
      </c>
      <c r="C44" s="48">
        <f>C36</f>
        <v>36000</v>
      </c>
    </row>
    <row r="45" spans="1:4">
      <c r="B45" s="49"/>
      <c r="C45" s="45"/>
    </row>
    <row r="46" spans="1:4">
      <c r="B46" s="105"/>
      <c r="C46" s="45"/>
    </row>
    <row r="47" spans="1:4">
      <c r="A47" s="43">
        <v>2</v>
      </c>
      <c r="B47" s="113" t="s">
        <v>267</v>
      </c>
      <c r="C47" s="114"/>
    </row>
    <row r="48" spans="1:4">
      <c r="B48" s="49" t="s">
        <v>268</v>
      </c>
      <c r="C48" s="45"/>
    </row>
    <row r="49" spans="1:3">
      <c r="B49" s="49" t="s">
        <v>269</v>
      </c>
      <c r="C49" s="45"/>
    </row>
    <row r="50" spans="1:3">
      <c r="B50" s="49" t="s">
        <v>270</v>
      </c>
      <c r="C50" s="45">
        <f>-2250*0.75*6/6.5</f>
        <v>-1557.6923076923076</v>
      </c>
    </row>
    <row r="51" spans="1:3">
      <c r="B51" s="49" t="s">
        <v>271</v>
      </c>
      <c r="C51" s="45">
        <f>-(100000-105000*6/6.5)*0.3*0.75</f>
        <v>-692.30769230769249</v>
      </c>
    </row>
    <row r="52" spans="1:3">
      <c r="B52" s="49"/>
      <c r="C52" s="45"/>
    </row>
    <row r="53" spans="1:3">
      <c r="B53" s="105"/>
      <c r="C53" s="45"/>
    </row>
    <row r="54" spans="1:3">
      <c r="A54" s="43">
        <v>3</v>
      </c>
      <c r="B54" s="111" t="s">
        <v>272</v>
      </c>
      <c r="C54" s="111"/>
    </row>
    <row r="55" spans="1:3">
      <c r="B55" s="49" t="s">
        <v>273</v>
      </c>
      <c r="C55" s="45"/>
    </row>
    <row r="56" spans="1:3">
      <c r="B56" s="49" t="s">
        <v>274</v>
      </c>
      <c r="C56" s="45"/>
    </row>
    <row r="57" spans="1:3">
      <c r="B57" s="111" t="s">
        <v>259</v>
      </c>
      <c r="C57" s="111"/>
    </row>
    <row r="58" spans="1:3">
      <c r="B58" s="105" t="s">
        <v>149</v>
      </c>
      <c r="C58" s="45">
        <v>15000</v>
      </c>
    </row>
    <row r="59" spans="1:3">
      <c r="B59" s="105" t="s">
        <v>260</v>
      </c>
      <c r="C59" s="47">
        <f>-(80000+50000+80000*10/12)*0.07</f>
        <v>-13766.66666666667</v>
      </c>
    </row>
    <row r="60" spans="1:3">
      <c r="B60" s="105" t="s">
        <v>261</v>
      </c>
      <c r="C60" s="45">
        <f>SUM(C58:C59)</f>
        <v>1233.3333333333303</v>
      </c>
    </row>
    <row r="61" spans="1:3">
      <c r="B61" s="105"/>
      <c r="C61" s="45"/>
    </row>
    <row r="62" spans="1:3">
      <c r="B62" s="103" t="s">
        <v>262</v>
      </c>
      <c r="C62" s="45"/>
    </row>
    <row r="63" spans="1:3">
      <c r="B63" s="105" t="s">
        <v>176</v>
      </c>
      <c r="C63" s="47">
        <f>C60</f>
        <v>1233.3333333333303</v>
      </c>
    </row>
    <row r="64" spans="1:3">
      <c r="B64" s="43" t="s">
        <v>261</v>
      </c>
      <c r="C64" s="48">
        <f>C60</f>
        <v>1233.3333333333303</v>
      </c>
    </row>
    <row r="65" spans="1:3">
      <c r="B65" s="105"/>
      <c r="C65" s="45"/>
    </row>
    <row r="66" spans="1:3">
      <c r="B66" s="105"/>
      <c r="C66" s="105"/>
    </row>
    <row r="67" spans="1:3">
      <c r="A67" s="43">
        <v>4</v>
      </c>
      <c r="B67" s="111" t="s">
        <v>244</v>
      </c>
      <c r="C67" s="111"/>
    </row>
    <row r="68" spans="1:3">
      <c r="B68" s="49" t="s">
        <v>275</v>
      </c>
      <c r="C68" s="105"/>
    </row>
    <row r="69" spans="1:3">
      <c r="B69" s="49" t="s">
        <v>276</v>
      </c>
      <c r="C69" s="105"/>
    </row>
    <row r="70" spans="1:3">
      <c r="B70" s="105"/>
      <c r="C70" s="105"/>
    </row>
    <row r="71" spans="1:3">
      <c r="B71" s="105"/>
      <c r="C71" s="105"/>
    </row>
    <row r="72" spans="1:3">
      <c r="B72" s="105"/>
      <c r="C72" s="105"/>
    </row>
    <row r="73" spans="1:3">
      <c r="B73" s="105"/>
      <c r="C73" s="105"/>
    </row>
    <row r="74" spans="1:3">
      <c r="B74" s="105"/>
      <c r="C74" s="105"/>
    </row>
    <row r="75" spans="1:3">
      <c r="B75" s="105"/>
      <c r="C75" s="105"/>
    </row>
    <row r="76" spans="1:3">
      <c r="B76" s="105"/>
      <c r="C76" s="105"/>
    </row>
    <row r="77" spans="1:3">
      <c r="B77" s="105"/>
      <c r="C77" s="105"/>
    </row>
    <row r="78" spans="1:3">
      <c r="B78" s="105"/>
      <c r="C78" s="105"/>
    </row>
    <row r="79" spans="1:3">
      <c r="B79" s="105"/>
      <c r="C79" s="105"/>
    </row>
    <row r="80" spans="1:3">
      <c r="B80" s="105"/>
      <c r="C80" s="105"/>
    </row>
    <row r="81" spans="2:3">
      <c r="B81" s="105"/>
      <c r="C81" s="105"/>
    </row>
    <row r="82" spans="2:3">
      <c r="B82" s="105"/>
      <c r="C82" s="105"/>
    </row>
    <row r="83" spans="2:3">
      <c r="B83" s="105"/>
      <c r="C83" s="105"/>
    </row>
    <row r="84" spans="2:3">
      <c r="B84" s="105"/>
      <c r="C84" s="105"/>
    </row>
    <row r="85" spans="2:3">
      <c r="B85" s="105"/>
      <c r="C85" s="105"/>
    </row>
    <row r="86" spans="2:3">
      <c r="B86" s="105"/>
      <c r="C86" s="105"/>
    </row>
    <row r="87" spans="2:3">
      <c r="B87" s="105"/>
      <c r="C87" s="105"/>
    </row>
    <row r="88" spans="2:3">
      <c r="B88" s="105"/>
      <c r="C88" s="105"/>
    </row>
    <row r="89" spans="2:3">
      <c r="B89" s="105"/>
      <c r="C89" s="105"/>
    </row>
    <row r="90" spans="2:3">
      <c r="B90" s="105"/>
      <c r="C90" s="105"/>
    </row>
  </sheetData>
  <sheetProtection password="D3EB" sheet="1" objects="1" scenarios="1"/>
  <mergeCells count="7">
    <mergeCell ref="B67:C67"/>
    <mergeCell ref="B2:C2"/>
    <mergeCell ref="B31:C31"/>
    <mergeCell ref="B33:C33"/>
    <mergeCell ref="B47:C47"/>
    <mergeCell ref="B54:C54"/>
    <mergeCell ref="B57:C57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4"/>
  <sheetViews>
    <sheetView rightToLeft="1" topLeftCell="A46" workbookViewId="0">
      <selection activeCell="D77" sqref="D77"/>
    </sheetView>
  </sheetViews>
  <sheetFormatPr defaultRowHeight="12.75"/>
  <cols>
    <col min="1" max="1" width="9" style="42"/>
    <col min="2" max="2" width="24.625" style="42" customWidth="1"/>
    <col min="3" max="3" width="18.75" style="42" customWidth="1"/>
    <col min="4" max="257" width="9" style="42"/>
    <col min="258" max="258" width="24.625" style="42" customWidth="1"/>
    <col min="259" max="259" width="18.75" style="42" customWidth="1"/>
    <col min="260" max="513" width="9" style="42"/>
    <col min="514" max="514" width="24.625" style="42" customWidth="1"/>
    <col min="515" max="515" width="18.75" style="42" customWidth="1"/>
    <col min="516" max="769" width="9" style="42"/>
    <col min="770" max="770" width="24.625" style="42" customWidth="1"/>
    <col min="771" max="771" width="18.75" style="42" customWidth="1"/>
    <col min="772" max="1025" width="9" style="42"/>
    <col min="1026" max="1026" width="24.625" style="42" customWidth="1"/>
    <col min="1027" max="1027" width="18.75" style="42" customWidth="1"/>
    <col min="1028" max="1281" width="9" style="42"/>
    <col min="1282" max="1282" width="24.625" style="42" customWidth="1"/>
    <col min="1283" max="1283" width="18.75" style="42" customWidth="1"/>
    <col min="1284" max="1537" width="9" style="42"/>
    <col min="1538" max="1538" width="24.625" style="42" customWidth="1"/>
    <col min="1539" max="1539" width="18.75" style="42" customWidth="1"/>
    <col min="1540" max="1793" width="9" style="42"/>
    <col min="1794" max="1794" width="24.625" style="42" customWidth="1"/>
    <col min="1795" max="1795" width="18.75" style="42" customWidth="1"/>
    <col min="1796" max="2049" width="9" style="42"/>
    <col min="2050" max="2050" width="24.625" style="42" customWidth="1"/>
    <col min="2051" max="2051" width="18.75" style="42" customWidth="1"/>
    <col min="2052" max="2305" width="9" style="42"/>
    <col min="2306" max="2306" width="24.625" style="42" customWidth="1"/>
    <col min="2307" max="2307" width="18.75" style="42" customWidth="1"/>
    <col min="2308" max="2561" width="9" style="42"/>
    <col min="2562" max="2562" width="24.625" style="42" customWidth="1"/>
    <col min="2563" max="2563" width="18.75" style="42" customWidth="1"/>
    <col min="2564" max="2817" width="9" style="42"/>
    <col min="2818" max="2818" width="24.625" style="42" customWidth="1"/>
    <col min="2819" max="2819" width="18.75" style="42" customWidth="1"/>
    <col min="2820" max="3073" width="9" style="42"/>
    <col min="3074" max="3074" width="24.625" style="42" customWidth="1"/>
    <col min="3075" max="3075" width="18.75" style="42" customWidth="1"/>
    <col min="3076" max="3329" width="9" style="42"/>
    <col min="3330" max="3330" width="24.625" style="42" customWidth="1"/>
    <col min="3331" max="3331" width="18.75" style="42" customWidth="1"/>
    <col min="3332" max="3585" width="9" style="42"/>
    <col min="3586" max="3586" width="24.625" style="42" customWidth="1"/>
    <col min="3587" max="3587" width="18.75" style="42" customWidth="1"/>
    <col min="3588" max="3841" width="9" style="42"/>
    <col min="3842" max="3842" width="24.625" style="42" customWidth="1"/>
    <col min="3843" max="3843" width="18.75" style="42" customWidth="1"/>
    <col min="3844" max="4097" width="9" style="42"/>
    <col min="4098" max="4098" width="24.625" style="42" customWidth="1"/>
    <col min="4099" max="4099" width="18.75" style="42" customWidth="1"/>
    <col min="4100" max="4353" width="9" style="42"/>
    <col min="4354" max="4354" width="24.625" style="42" customWidth="1"/>
    <col min="4355" max="4355" width="18.75" style="42" customWidth="1"/>
    <col min="4356" max="4609" width="9" style="42"/>
    <col min="4610" max="4610" width="24.625" style="42" customWidth="1"/>
    <col min="4611" max="4611" width="18.75" style="42" customWidth="1"/>
    <col min="4612" max="4865" width="9" style="42"/>
    <col min="4866" max="4866" width="24.625" style="42" customWidth="1"/>
    <col min="4867" max="4867" width="18.75" style="42" customWidth="1"/>
    <col min="4868" max="5121" width="9" style="42"/>
    <col min="5122" max="5122" width="24.625" style="42" customWidth="1"/>
    <col min="5123" max="5123" width="18.75" style="42" customWidth="1"/>
    <col min="5124" max="5377" width="9" style="42"/>
    <col min="5378" max="5378" width="24.625" style="42" customWidth="1"/>
    <col min="5379" max="5379" width="18.75" style="42" customWidth="1"/>
    <col min="5380" max="5633" width="9" style="42"/>
    <col min="5634" max="5634" width="24.625" style="42" customWidth="1"/>
    <col min="5635" max="5635" width="18.75" style="42" customWidth="1"/>
    <col min="5636" max="5889" width="9" style="42"/>
    <col min="5890" max="5890" width="24.625" style="42" customWidth="1"/>
    <col min="5891" max="5891" width="18.75" style="42" customWidth="1"/>
    <col min="5892" max="6145" width="9" style="42"/>
    <col min="6146" max="6146" width="24.625" style="42" customWidth="1"/>
    <col min="6147" max="6147" width="18.75" style="42" customWidth="1"/>
    <col min="6148" max="6401" width="9" style="42"/>
    <col min="6402" max="6402" width="24.625" style="42" customWidth="1"/>
    <col min="6403" max="6403" width="18.75" style="42" customWidth="1"/>
    <col min="6404" max="6657" width="9" style="42"/>
    <col min="6658" max="6658" width="24.625" style="42" customWidth="1"/>
    <col min="6659" max="6659" width="18.75" style="42" customWidth="1"/>
    <col min="6660" max="6913" width="9" style="42"/>
    <col min="6914" max="6914" width="24.625" style="42" customWidth="1"/>
    <col min="6915" max="6915" width="18.75" style="42" customWidth="1"/>
    <col min="6916" max="7169" width="9" style="42"/>
    <col min="7170" max="7170" width="24.625" style="42" customWidth="1"/>
    <col min="7171" max="7171" width="18.75" style="42" customWidth="1"/>
    <col min="7172" max="7425" width="9" style="42"/>
    <col min="7426" max="7426" width="24.625" style="42" customWidth="1"/>
    <col min="7427" max="7427" width="18.75" style="42" customWidth="1"/>
    <col min="7428" max="7681" width="9" style="42"/>
    <col min="7682" max="7682" width="24.625" style="42" customWidth="1"/>
    <col min="7683" max="7683" width="18.75" style="42" customWidth="1"/>
    <col min="7684" max="7937" width="9" style="42"/>
    <col min="7938" max="7938" width="24.625" style="42" customWidth="1"/>
    <col min="7939" max="7939" width="18.75" style="42" customWidth="1"/>
    <col min="7940" max="8193" width="9" style="42"/>
    <col min="8194" max="8194" width="24.625" style="42" customWidth="1"/>
    <col min="8195" max="8195" width="18.75" style="42" customWidth="1"/>
    <col min="8196" max="8449" width="9" style="42"/>
    <col min="8450" max="8450" width="24.625" style="42" customWidth="1"/>
    <col min="8451" max="8451" width="18.75" style="42" customWidth="1"/>
    <col min="8452" max="8705" width="9" style="42"/>
    <col min="8706" max="8706" width="24.625" style="42" customWidth="1"/>
    <col min="8707" max="8707" width="18.75" style="42" customWidth="1"/>
    <col min="8708" max="8961" width="9" style="42"/>
    <col min="8962" max="8962" width="24.625" style="42" customWidth="1"/>
    <col min="8963" max="8963" width="18.75" style="42" customWidth="1"/>
    <col min="8964" max="9217" width="9" style="42"/>
    <col min="9218" max="9218" width="24.625" style="42" customWidth="1"/>
    <col min="9219" max="9219" width="18.75" style="42" customWidth="1"/>
    <col min="9220" max="9473" width="9" style="42"/>
    <col min="9474" max="9474" width="24.625" style="42" customWidth="1"/>
    <col min="9475" max="9475" width="18.75" style="42" customWidth="1"/>
    <col min="9476" max="9729" width="9" style="42"/>
    <col min="9730" max="9730" width="24.625" style="42" customWidth="1"/>
    <col min="9731" max="9731" width="18.75" style="42" customWidth="1"/>
    <col min="9732" max="9985" width="9" style="42"/>
    <col min="9986" max="9986" width="24.625" style="42" customWidth="1"/>
    <col min="9987" max="9987" width="18.75" style="42" customWidth="1"/>
    <col min="9988" max="10241" width="9" style="42"/>
    <col min="10242" max="10242" width="24.625" style="42" customWidth="1"/>
    <col min="10243" max="10243" width="18.75" style="42" customWidth="1"/>
    <col min="10244" max="10497" width="9" style="42"/>
    <col min="10498" max="10498" width="24.625" style="42" customWidth="1"/>
    <col min="10499" max="10499" width="18.75" style="42" customWidth="1"/>
    <col min="10500" max="10753" width="9" style="42"/>
    <col min="10754" max="10754" width="24.625" style="42" customWidth="1"/>
    <col min="10755" max="10755" width="18.75" style="42" customWidth="1"/>
    <col min="10756" max="11009" width="9" style="42"/>
    <col min="11010" max="11010" width="24.625" style="42" customWidth="1"/>
    <col min="11011" max="11011" width="18.75" style="42" customWidth="1"/>
    <col min="11012" max="11265" width="9" style="42"/>
    <col min="11266" max="11266" width="24.625" style="42" customWidth="1"/>
    <col min="11267" max="11267" width="18.75" style="42" customWidth="1"/>
    <col min="11268" max="11521" width="9" style="42"/>
    <col min="11522" max="11522" width="24.625" style="42" customWidth="1"/>
    <col min="11523" max="11523" width="18.75" style="42" customWidth="1"/>
    <col min="11524" max="11777" width="9" style="42"/>
    <col min="11778" max="11778" width="24.625" style="42" customWidth="1"/>
    <col min="11779" max="11779" width="18.75" style="42" customWidth="1"/>
    <col min="11780" max="12033" width="9" style="42"/>
    <col min="12034" max="12034" width="24.625" style="42" customWidth="1"/>
    <col min="12035" max="12035" width="18.75" style="42" customWidth="1"/>
    <col min="12036" max="12289" width="9" style="42"/>
    <col min="12290" max="12290" width="24.625" style="42" customWidth="1"/>
    <col min="12291" max="12291" width="18.75" style="42" customWidth="1"/>
    <col min="12292" max="12545" width="9" style="42"/>
    <col min="12546" max="12546" width="24.625" style="42" customWidth="1"/>
    <col min="12547" max="12547" width="18.75" style="42" customWidth="1"/>
    <col min="12548" max="12801" width="9" style="42"/>
    <col min="12802" max="12802" width="24.625" style="42" customWidth="1"/>
    <col min="12803" max="12803" width="18.75" style="42" customWidth="1"/>
    <col min="12804" max="13057" width="9" style="42"/>
    <col min="13058" max="13058" width="24.625" style="42" customWidth="1"/>
    <col min="13059" max="13059" width="18.75" style="42" customWidth="1"/>
    <col min="13060" max="13313" width="9" style="42"/>
    <col min="13314" max="13314" width="24.625" style="42" customWidth="1"/>
    <col min="13315" max="13315" width="18.75" style="42" customWidth="1"/>
    <col min="13316" max="13569" width="9" style="42"/>
    <col min="13570" max="13570" width="24.625" style="42" customWidth="1"/>
    <col min="13571" max="13571" width="18.75" style="42" customWidth="1"/>
    <col min="13572" max="13825" width="9" style="42"/>
    <col min="13826" max="13826" width="24.625" style="42" customWidth="1"/>
    <col min="13827" max="13827" width="18.75" style="42" customWidth="1"/>
    <col min="13828" max="14081" width="9" style="42"/>
    <col min="14082" max="14082" width="24.625" style="42" customWidth="1"/>
    <col min="14083" max="14083" width="18.75" style="42" customWidth="1"/>
    <col min="14084" max="14337" width="9" style="42"/>
    <col min="14338" max="14338" width="24.625" style="42" customWidth="1"/>
    <col min="14339" max="14339" width="18.75" style="42" customWidth="1"/>
    <col min="14340" max="14593" width="9" style="42"/>
    <col min="14594" max="14594" width="24.625" style="42" customWidth="1"/>
    <col min="14595" max="14595" width="18.75" style="42" customWidth="1"/>
    <col min="14596" max="14849" width="9" style="42"/>
    <col min="14850" max="14850" width="24.625" style="42" customWidth="1"/>
    <col min="14851" max="14851" width="18.75" style="42" customWidth="1"/>
    <col min="14852" max="15105" width="9" style="42"/>
    <col min="15106" max="15106" width="24.625" style="42" customWidth="1"/>
    <col min="15107" max="15107" width="18.75" style="42" customWidth="1"/>
    <col min="15108" max="15361" width="9" style="42"/>
    <col min="15362" max="15362" width="24.625" style="42" customWidth="1"/>
    <col min="15363" max="15363" width="18.75" style="42" customWidth="1"/>
    <col min="15364" max="15617" width="9" style="42"/>
    <col min="15618" max="15618" width="24.625" style="42" customWidth="1"/>
    <col min="15619" max="15619" width="18.75" style="42" customWidth="1"/>
    <col min="15620" max="15873" width="9" style="42"/>
    <col min="15874" max="15874" width="24.625" style="42" customWidth="1"/>
    <col min="15875" max="15875" width="18.75" style="42" customWidth="1"/>
    <col min="15876" max="16129" width="9" style="42"/>
    <col min="16130" max="16130" width="24.625" style="42" customWidth="1"/>
    <col min="16131" max="16131" width="18.75" style="42" customWidth="1"/>
    <col min="16132" max="16384" width="9" style="42"/>
  </cols>
  <sheetData>
    <row r="2" spans="1:3">
      <c r="A2" s="41" t="s">
        <v>235</v>
      </c>
      <c r="B2" s="112" t="s">
        <v>277</v>
      </c>
      <c r="C2" s="112"/>
    </row>
    <row r="3" spans="1:3">
      <c r="A3" s="43">
        <v>1</v>
      </c>
      <c r="B3" s="44" t="s">
        <v>278</v>
      </c>
      <c r="C3" s="45">
        <v>112500</v>
      </c>
    </row>
    <row r="4" spans="1:3">
      <c r="A4" s="43"/>
      <c r="B4" s="44" t="s">
        <v>238</v>
      </c>
      <c r="C4" s="45">
        <f>-35000*0.45</f>
        <v>-15750</v>
      </c>
    </row>
    <row r="5" spans="1:3">
      <c r="A5" s="43"/>
      <c r="B5" s="44" t="s">
        <v>279</v>
      </c>
      <c r="C5" s="45">
        <f>4500*0.75</f>
        <v>3375</v>
      </c>
    </row>
    <row r="6" spans="1:3">
      <c r="A6" s="43">
        <v>2</v>
      </c>
      <c r="B6" s="44" t="s">
        <v>280</v>
      </c>
      <c r="C6" s="47">
        <f>-(45000-40000)*0.45*0.75</f>
        <v>-1687.5</v>
      </c>
    </row>
    <row r="7" spans="1:3">
      <c r="A7" s="43"/>
      <c r="B7" s="43" t="s">
        <v>245</v>
      </c>
      <c r="C7" s="48">
        <f>SUM(C3:C6)</f>
        <v>98437.5</v>
      </c>
    </row>
    <row r="8" spans="1:3">
      <c r="A8" s="43"/>
      <c r="B8" s="44" t="s">
        <v>281</v>
      </c>
      <c r="C8" s="45">
        <f>-10000*0.45*6/12</f>
        <v>-2250</v>
      </c>
    </row>
    <row r="9" spans="1:3">
      <c r="A9" s="43">
        <v>3</v>
      </c>
      <c r="B9" s="44" t="s">
        <v>282</v>
      </c>
      <c r="C9" s="47">
        <f>-(60000-75000)*0.45*0.25*0.75</f>
        <v>1265.625</v>
      </c>
    </row>
    <row r="10" spans="1:3">
      <c r="A10" s="43"/>
      <c r="B10" s="43" t="s">
        <v>283</v>
      </c>
      <c r="C10" s="48">
        <f>SUM(C7:C9)</f>
        <v>97453.125</v>
      </c>
    </row>
    <row r="11" spans="1:3">
      <c r="A11" s="43">
        <v>4</v>
      </c>
      <c r="B11" s="44" t="s">
        <v>284</v>
      </c>
      <c r="C11" s="45">
        <f>-(97453+1688-1266)*0.1/0.45</f>
        <v>-21750</v>
      </c>
    </row>
    <row r="12" spans="1:3">
      <c r="A12" s="43"/>
      <c r="B12" s="44" t="s">
        <v>285</v>
      </c>
      <c r="C12" s="45">
        <f>-10000*0.35*6/12</f>
        <v>-1750</v>
      </c>
    </row>
    <row r="13" spans="1:3">
      <c r="A13" s="43">
        <v>5</v>
      </c>
      <c r="B13" s="44" t="s">
        <v>286</v>
      </c>
      <c r="C13" s="45">
        <v>1688</v>
      </c>
    </row>
    <row r="14" spans="1:3">
      <c r="A14" s="43"/>
      <c r="B14" s="44" t="s">
        <v>287</v>
      </c>
      <c r="C14" s="47">
        <f>-1266*1/8*6/12</f>
        <v>-79.125</v>
      </c>
    </row>
    <row r="15" spans="1:3">
      <c r="A15" s="43"/>
      <c r="B15" s="43" t="s">
        <v>257</v>
      </c>
      <c r="C15" s="48">
        <f>SUM(C10:C14)</f>
        <v>75562</v>
      </c>
    </row>
    <row r="16" spans="1:3">
      <c r="A16" s="43"/>
      <c r="B16" s="44" t="s">
        <v>238</v>
      </c>
      <c r="C16" s="45">
        <f>5000*0.35</f>
        <v>1750</v>
      </c>
    </row>
    <row r="17" spans="1:3">
      <c r="A17" s="43"/>
      <c r="B17" s="44" t="s">
        <v>288</v>
      </c>
      <c r="C17" s="45">
        <f>-1266*1/8*8/12</f>
        <v>-105.5</v>
      </c>
    </row>
    <row r="18" spans="1:3">
      <c r="A18" s="43">
        <v>6</v>
      </c>
      <c r="B18" s="44" t="s">
        <v>289</v>
      </c>
      <c r="C18" s="47">
        <f>-(1266-79-106)</f>
        <v>-1081</v>
      </c>
    </row>
    <row r="19" spans="1:3">
      <c r="A19" s="43"/>
      <c r="B19" s="43" t="s">
        <v>258</v>
      </c>
      <c r="C19" s="48">
        <f>SUM(C15:C18)</f>
        <v>76125.5</v>
      </c>
    </row>
    <row r="20" spans="1:3">
      <c r="A20" s="43"/>
      <c r="B20" s="43"/>
      <c r="C20" s="48"/>
    </row>
    <row r="21" spans="1:3">
      <c r="A21" s="43"/>
      <c r="B21" s="43"/>
      <c r="C21" s="48"/>
    </row>
    <row r="22" spans="1:3">
      <c r="A22" s="43"/>
      <c r="B22" s="112" t="s">
        <v>290</v>
      </c>
      <c r="C22" s="112"/>
    </row>
    <row r="23" spans="1:3">
      <c r="A23" s="43"/>
      <c r="B23" s="46" t="s">
        <v>291</v>
      </c>
      <c r="C23" s="41"/>
    </row>
    <row r="24" spans="1:3">
      <c r="A24" s="43"/>
      <c r="B24" s="44" t="s">
        <v>292</v>
      </c>
      <c r="C24" s="45">
        <v>30000</v>
      </c>
    </row>
    <row r="25" spans="1:3">
      <c r="A25" s="43"/>
      <c r="B25" s="44" t="s">
        <v>293</v>
      </c>
      <c r="C25" s="45">
        <v>21750</v>
      </c>
    </row>
    <row r="26" spans="1:3">
      <c r="B26" s="44" t="s">
        <v>294</v>
      </c>
      <c r="C26" s="45">
        <f>C24-C25</f>
        <v>8250</v>
      </c>
    </row>
    <row r="27" spans="1:3">
      <c r="B27" s="44"/>
      <c r="C27" s="45"/>
    </row>
    <row r="28" spans="1:3">
      <c r="B28" s="46" t="s">
        <v>295</v>
      </c>
      <c r="C28" s="45"/>
    </row>
    <row r="29" spans="1:3">
      <c r="B29" s="44" t="s">
        <v>296</v>
      </c>
      <c r="C29" s="45">
        <v>118</v>
      </c>
    </row>
    <row r="30" spans="1:3">
      <c r="B30" s="44" t="s">
        <v>294</v>
      </c>
      <c r="C30" s="45">
        <v>118</v>
      </c>
    </row>
    <row r="31" spans="1:3">
      <c r="B31" s="44"/>
      <c r="C31" s="45"/>
    </row>
    <row r="32" spans="1:3">
      <c r="B32" s="44"/>
      <c r="C32" s="45"/>
    </row>
    <row r="33" spans="1:3">
      <c r="B33" s="44"/>
      <c r="C33" s="45"/>
    </row>
    <row r="34" spans="1:3">
      <c r="B34" s="112" t="s">
        <v>235</v>
      </c>
      <c r="C34" s="112"/>
    </row>
    <row r="35" spans="1:3">
      <c r="B35" s="44"/>
      <c r="C35" s="45"/>
    </row>
    <row r="36" spans="1:3">
      <c r="A36" s="43">
        <v>1</v>
      </c>
      <c r="B36" s="111" t="s">
        <v>259</v>
      </c>
      <c r="C36" s="111"/>
    </row>
    <row r="37" spans="1:3">
      <c r="A37" s="43"/>
      <c r="B37" s="44" t="s">
        <v>149</v>
      </c>
      <c r="C37" s="45">
        <v>112500</v>
      </c>
    </row>
    <row r="38" spans="1:3">
      <c r="A38" s="43"/>
      <c r="B38" s="44" t="s">
        <v>260</v>
      </c>
      <c r="C38" s="47">
        <f>-250000*0.45</f>
        <v>-112500</v>
      </c>
    </row>
    <row r="39" spans="1:3">
      <c r="A39" s="43"/>
      <c r="B39" s="44" t="s">
        <v>261</v>
      </c>
      <c r="C39" s="45">
        <f>SUM(C37:C38)</f>
        <v>0</v>
      </c>
    </row>
    <row r="40" spans="1:3">
      <c r="A40" s="43"/>
      <c r="B40" s="44"/>
      <c r="C40" s="45"/>
    </row>
    <row r="41" spans="1:3">
      <c r="A41" s="43"/>
      <c r="B41" s="46" t="s">
        <v>262</v>
      </c>
      <c r="C41" s="45"/>
    </row>
    <row r="42" spans="1:3">
      <c r="A42" s="43"/>
      <c r="B42" s="44" t="s">
        <v>297</v>
      </c>
      <c r="C42" s="45">
        <f>-(10000-0)*0.45</f>
        <v>-4500</v>
      </c>
    </row>
    <row r="43" spans="1:3">
      <c r="A43" s="43"/>
      <c r="B43" s="44" t="s">
        <v>264</v>
      </c>
      <c r="C43" s="45">
        <f>-C42*0.25</f>
        <v>1125</v>
      </c>
    </row>
    <row r="44" spans="1:3">
      <c r="A44" s="43"/>
      <c r="B44" s="44" t="s">
        <v>298</v>
      </c>
      <c r="C44" s="45">
        <v>0</v>
      </c>
    </row>
    <row r="45" spans="1:3">
      <c r="A45" s="43"/>
      <c r="B45" s="44" t="s">
        <v>176</v>
      </c>
      <c r="C45" s="47">
        <f>C46-SUM(C42:C44)</f>
        <v>3375</v>
      </c>
    </row>
    <row r="46" spans="1:3">
      <c r="A46" s="43"/>
      <c r="B46" s="43" t="s">
        <v>261</v>
      </c>
      <c r="C46" s="48">
        <f>C39</f>
        <v>0</v>
      </c>
    </row>
    <row r="47" spans="1:3">
      <c r="A47" s="43"/>
      <c r="B47" s="44"/>
      <c r="C47" s="45"/>
    </row>
    <row r="48" spans="1:3">
      <c r="A48" s="42" t="s">
        <v>266</v>
      </c>
      <c r="B48" s="46" t="s">
        <v>299</v>
      </c>
      <c r="C48" s="45"/>
    </row>
    <row r="49" spans="1:3">
      <c r="A49" s="43"/>
      <c r="B49" s="49" t="s">
        <v>300</v>
      </c>
      <c r="C49" s="45"/>
    </row>
    <row r="50" spans="1:3">
      <c r="A50" s="43"/>
      <c r="B50" s="44"/>
      <c r="C50" s="45"/>
    </row>
    <row r="51" spans="1:3">
      <c r="A51" s="43"/>
      <c r="B51" s="44"/>
      <c r="C51" s="45"/>
    </row>
    <row r="52" spans="1:3">
      <c r="A52" s="43">
        <v>2</v>
      </c>
      <c r="B52" s="111" t="s">
        <v>301</v>
      </c>
      <c r="C52" s="111"/>
    </row>
    <row r="53" spans="1:3">
      <c r="A53" s="43"/>
      <c r="B53" s="49" t="s">
        <v>302</v>
      </c>
      <c r="C53" s="45"/>
    </row>
    <row r="54" spans="1:3">
      <c r="A54" s="43"/>
      <c r="B54" s="49" t="s">
        <v>303</v>
      </c>
      <c r="C54" s="45"/>
    </row>
    <row r="55" spans="1:3">
      <c r="A55" s="43"/>
      <c r="B55" s="49" t="s">
        <v>304</v>
      </c>
      <c r="C55" s="45">
        <v>45000</v>
      </c>
    </row>
    <row r="56" spans="1:3">
      <c r="A56" s="43"/>
      <c r="B56" s="49" t="s">
        <v>305</v>
      </c>
      <c r="C56" s="44">
        <f>-50000*0.8</f>
        <v>-40000</v>
      </c>
    </row>
    <row r="57" spans="1:3">
      <c r="A57" s="43"/>
      <c r="B57" s="44"/>
      <c r="C57" s="44"/>
    </row>
    <row r="58" spans="1:3">
      <c r="A58" s="43"/>
      <c r="B58" s="49" t="s">
        <v>306</v>
      </c>
      <c r="C58" s="45">
        <f>-(45000-40000)*0.45*0.75</f>
        <v>-1687.5</v>
      </c>
    </row>
    <row r="59" spans="1:3">
      <c r="A59" s="43"/>
      <c r="B59" s="44"/>
      <c r="C59" s="44"/>
    </row>
    <row r="60" spans="1:3">
      <c r="A60" s="43"/>
    </row>
    <row r="61" spans="1:3">
      <c r="A61" s="43">
        <v>3</v>
      </c>
      <c r="B61" s="111" t="s">
        <v>307</v>
      </c>
      <c r="C61" s="111"/>
    </row>
    <row r="62" spans="1:3">
      <c r="A62" s="43"/>
      <c r="B62" s="42" t="s">
        <v>308</v>
      </c>
    </row>
    <row r="63" spans="1:3">
      <c r="A63" s="43"/>
      <c r="B63" s="49" t="s">
        <v>309</v>
      </c>
    </row>
    <row r="64" spans="1:3">
      <c r="A64" s="43"/>
      <c r="B64" s="49" t="s">
        <v>310</v>
      </c>
    </row>
    <row r="65" spans="1:3">
      <c r="A65" s="43"/>
      <c r="B65" s="50" t="s">
        <v>311</v>
      </c>
    </row>
    <row r="66" spans="1:3">
      <c r="A66" s="43"/>
      <c r="B66" s="42" t="s">
        <v>312</v>
      </c>
      <c r="C66" s="42">
        <v>75000</v>
      </c>
    </row>
    <row r="67" spans="1:3">
      <c r="A67" s="43"/>
      <c r="B67" s="49" t="s">
        <v>313</v>
      </c>
      <c r="C67" s="42">
        <v>60000</v>
      </c>
    </row>
    <row r="68" spans="1:3">
      <c r="A68" s="43"/>
      <c r="B68" s="50"/>
    </row>
    <row r="69" spans="1:3">
      <c r="A69" s="43"/>
      <c r="B69" s="50" t="s">
        <v>306</v>
      </c>
      <c r="C69" s="51">
        <f>-(60000-75000)*0.45*0.25*0.75</f>
        <v>1265.625</v>
      </c>
    </row>
    <row r="70" spans="1:3">
      <c r="A70" s="43"/>
    </row>
    <row r="71" spans="1:3">
      <c r="A71" s="43"/>
    </row>
    <row r="72" spans="1:3">
      <c r="A72" s="43">
        <v>4</v>
      </c>
      <c r="B72" s="111" t="s">
        <v>314</v>
      </c>
      <c r="C72" s="111"/>
    </row>
    <row r="73" spans="1:3">
      <c r="B73" s="42" t="s">
        <v>315</v>
      </c>
    </row>
    <row r="74" spans="1:3">
      <c r="B74" s="42" t="s">
        <v>316</v>
      </c>
    </row>
    <row r="77" spans="1:3">
      <c r="A77" s="43">
        <v>5</v>
      </c>
      <c r="B77" s="111" t="s">
        <v>317</v>
      </c>
      <c r="C77" s="111"/>
    </row>
    <row r="78" spans="1:3">
      <c r="B78" s="42" t="s">
        <v>318</v>
      </c>
    </row>
    <row r="79" spans="1:3">
      <c r="B79" s="42" t="s">
        <v>319</v>
      </c>
    </row>
    <row r="82" spans="1:3">
      <c r="A82" s="43">
        <v>6</v>
      </c>
      <c r="B82" s="111" t="s">
        <v>320</v>
      </c>
      <c r="C82" s="111"/>
    </row>
    <row r="83" spans="1:3">
      <c r="B83" s="49" t="s">
        <v>321</v>
      </c>
    </row>
    <row r="84" spans="1:3">
      <c r="B84" s="42" t="s">
        <v>322</v>
      </c>
    </row>
  </sheetData>
  <sheetProtection password="D3EB" sheet="1" objects="1" scenarios="1"/>
  <mergeCells count="9">
    <mergeCell ref="B72:C72"/>
    <mergeCell ref="B77:C77"/>
    <mergeCell ref="B82:C82"/>
    <mergeCell ref="B2:C2"/>
    <mergeCell ref="B22:C22"/>
    <mergeCell ref="B34:C34"/>
    <mergeCell ref="B36:C36"/>
    <mergeCell ref="B52:C52"/>
    <mergeCell ref="B61:C61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2"/>
  <sheetViews>
    <sheetView rightToLeft="1" topLeftCell="A6" workbookViewId="0">
      <selection activeCell="A36" sqref="A36"/>
    </sheetView>
  </sheetViews>
  <sheetFormatPr defaultRowHeight="12.75"/>
  <cols>
    <col min="1" max="1" width="9" style="42"/>
    <col min="2" max="2" width="20.5" style="42" customWidth="1"/>
    <col min="3" max="3" width="12.375" style="42" customWidth="1"/>
    <col min="4" max="257" width="9" style="42"/>
    <col min="258" max="258" width="20.5" style="42" customWidth="1"/>
    <col min="259" max="259" width="12.375" style="42" customWidth="1"/>
    <col min="260" max="513" width="9" style="42"/>
    <col min="514" max="514" width="20.5" style="42" customWidth="1"/>
    <col min="515" max="515" width="12.375" style="42" customWidth="1"/>
    <col min="516" max="769" width="9" style="42"/>
    <col min="770" max="770" width="20.5" style="42" customWidth="1"/>
    <col min="771" max="771" width="12.375" style="42" customWidth="1"/>
    <col min="772" max="1025" width="9" style="42"/>
    <col min="1026" max="1026" width="20.5" style="42" customWidth="1"/>
    <col min="1027" max="1027" width="12.375" style="42" customWidth="1"/>
    <col min="1028" max="1281" width="9" style="42"/>
    <col min="1282" max="1282" width="20.5" style="42" customWidth="1"/>
    <col min="1283" max="1283" width="12.375" style="42" customWidth="1"/>
    <col min="1284" max="1537" width="9" style="42"/>
    <col min="1538" max="1538" width="20.5" style="42" customWidth="1"/>
    <col min="1539" max="1539" width="12.375" style="42" customWidth="1"/>
    <col min="1540" max="1793" width="9" style="42"/>
    <col min="1794" max="1794" width="20.5" style="42" customWidth="1"/>
    <col min="1795" max="1795" width="12.375" style="42" customWidth="1"/>
    <col min="1796" max="2049" width="9" style="42"/>
    <col min="2050" max="2050" width="20.5" style="42" customWidth="1"/>
    <col min="2051" max="2051" width="12.375" style="42" customWidth="1"/>
    <col min="2052" max="2305" width="9" style="42"/>
    <col min="2306" max="2306" width="20.5" style="42" customWidth="1"/>
    <col min="2307" max="2307" width="12.375" style="42" customWidth="1"/>
    <col min="2308" max="2561" width="9" style="42"/>
    <col min="2562" max="2562" width="20.5" style="42" customWidth="1"/>
    <col min="2563" max="2563" width="12.375" style="42" customWidth="1"/>
    <col min="2564" max="2817" width="9" style="42"/>
    <col min="2818" max="2818" width="20.5" style="42" customWidth="1"/>
    <col min="2819" max="2819" width="12.375" style="42" customWidth="1"/>
    <col min="2820" max="3073" width="9" style="42"/>
    <col min="3074" max="3074" width="20.5" style="42" customWidth="1"/>
    <col min="3075" max="3075" width="12.375" style="42" customWidth="1"/>
    <col min="3076" max="3329" width="9" style="42"/>
    <col min="3330" max="3330" width="20.5" style="42" customWidth="1"/>
    <col min="3331" max="3331" width="12.375" style="42" customWidth="1"/>
    <col min="3332" max="3585" width="9" style="42"/>
    <col min="3586" max="3586" width="20.5" style="42" customWidth="1"/>
    <col min="3587" max="3587" width="12.375" style="42" customWidth="1"/>
    <col min="3588" max="3841" width="9" style="42"/>
    <col min="3842" max="3842" width="20.5" style="42" customWidth="1"/>
    <col min="3843" max="3843" width="12.375" style="42" customWidth="1"/>
    <col min="3844" max="4097" width="9" style="42"/>
    <col min="4098" max="4098" width="20.5" style="42" customWidth="1"/>
    <col min="4099" max="4099" width="12.375" style="42" customWidth="1"/>
    <col min="4100" max="4353" width="9" style="42"/>
    <col min="4354" max="4354" width="20.5" style="42" customWidth="1"/>
    <col min="4355" max="4355" width="12.375" style="42" customWidth="1"/>
    <col min="4356" max="4609" width="9" style="42"/>
    <col min="4610" max="4610" width="20.5" style="42" customWidth="1"/>
    <col min="4611" max="4611" width="12.375" style="42" customWidth="1"/>
    <col min="4612" max="4865" width="9" style="42"/>
    <col min="4866" max="4866" width="20.5" style="42" customWidth="1"/>
    <col min="4867" max="4867" width="12.375" style="42" customWidth="1"/>
    <col min="4868" max="5121" width="9" style="42"/>
    <col min="5122" max="5122" width="20.5" style="42" customWidth="1"/>
    <col min="5123" max="5123" width="12.375" style="42" customWidth="1"/>
    <col min="5124" max="5377" width="9" style="42"/>
    <col min="5378" max="5378" width="20.5" style="42" customWidth="1"/>
    <col min="5379" max="5379" width="12.375" style="42" customWidth="1"/>
    <col min="5380" max="5633" width="9" style="42"/>
    <col min="5634" max="5634" width="20.5" style="42" customWidth="1"/>
    <col min="5635" max="5635" width="12.375" style="42" customWidth="1"/>
    <col min="5636" max="5889" width="9" style="42"/>
    <col min="5890" max="5890" width="20.5" style="42" customWidth="1"/>
    <col min="5891" max="5891" width="12.375" style="42" customWidth="1"/>
    <col min="5892" max="6145" width="9" style="42"/>
    <col min="6146" max="6146" width="20.5" style="42" customWidth="1"/>
    <col min="6147" max="6147" width="12.375" style="42" customWidth="1"/>
    <col min="6148" max="6401" width="9" style="42"/>
    <col min="6402" max="6402" width="20.5" style="42" customWidth="1"/>
    <col min="6403" max="6403" width="12.375" style="42" customWidth="1"/>
    <col min="6404" max="6657" width="9" style="42"/>
    <col min="6658" max="6658" width="20.5" style="42" customWidth="1"/>
    <col min="6659" max="6659" width="12.375" style="42" customWidth="1"/>
    <col min="6660" max="6913" width="9" style="42"/>
    <col min="6914" max="6914" width="20.5" style="42" customWidth="1"/>
    <col min="6915" max="6915" width="12.375" style="42" customWidth="1"/>
    <col min="6916" max="7169" width="9" style="42"/>
    <col min="7170" max="7170" width="20.5" style="42" customWidth="1"/>
    <col min="7171" max="7171" width="12.375" style="42" customWidth="1"/>
    <col min="7172" max="7425" width="9" style="42"/>
    <col min="7426" max="7426" width="20.5" style="42" customWidth="1"/>
    <col min="7427" max="7427" width="12.375" style="42" customWidth="1"/>
    <col min="7428" max="7681" width="9" style="42"/>
    <col min="7682" max="7682" width="20.5" style="42" customWidth="1"/>
    <col min="7683" max="7683" width="12.375" style="42" customWidth="1"/>
    <col min="7684" max="7937" width="9" style="42"/>
    <col min="7938" max="7938" width="20.5" style="42" customWidth="1"/>
    <col min="7939" max="7939" width="12.375" style="42" customWidth="1"/>
    <col min="7940" max="8193" width="9" style="42"/>
    <col min="8194" max="8194" width="20.5" style="42" customWidth="1"/>
    <col min="8195" max="8195" width="12.375" style="42" customWidth="1"/>
    <col min="8196" max="8449" width="9" style="42"/>
    <col min="8450" max="8450" width="20.5" style="42" customWidth="1"/>
    <col min="8451" max="8451" width="12.375" style="42" customWidth="1"/>
    <col min="8452" max="8705" width="9" style="42"/>
    <col min="8706" max="8706" width="20.5" style="42" customWidth="1"/>
    <col min="8707" max="8707" width="12.375" style="42" customWidth="1"/>
    <col min="8708" max="8961" width="9" style="42"/>
    <col min="8962" max="8962" width="20.5" style="42" customWidth="1"/>
    <col min="8963" max="8963" width="12.375" style="42" customWidth="1"/>
    <col min="8964" max="9217" width="9" style="42"/>
    <col min="9218" max="9218" width="20.5" style="42" customWidth="1"/>
    <col min="9219" max="9219" width="12.375" style="42" customWidth="1"/>
    <col min="9220" max="9473" width="9" style="42"/>
    <col min="9474" max="9474" width="20.5" style="42" customWidth="1"/>
    <col min="9475" max="9475" width="12.375" style="42" customWidth="1"/>
    <col min="9476" max="9729" width="9" style="42"/>
    <col min="9730" max="9730" width="20.5" style="42" customWidth="1"/>
    <col min="9731" max="9731" width="12.375" style="42" customWidth="1"/>
    <col min="9732" max="9985" width="9" style="42"/>
    <col min="9986" max="9986" width="20.5" style="42" customWidth="1"/>
    <col min="9987" max="9987" width="12.375" style="42" customWidth="1"/>
    <col min="9988" max="10241" width="9" style="42"/>
    <col min="10242" max="10242" width="20.5" style="42" customWidth="1"/>
    <col min="10243" max="10243" width="12.375" style="42" customWidth="1"/>
    <col min="10244" max="10497" width="9" style="42"/>
    <col min="10498" max="10498" width="20.5" style="42" customWidth="1"/>
    <col min="10499" max="10499" width="12.375" style="42" customWidth="1"/>
    <col min="10500" max="10753" width="9" style="42"/>
    <col min="10754" max="10754" width="20.5" style="42" customWidth="1"/>
    <col min="10755" max="10755" width="12.375" style="42" customWidth="1"/>
    <col min="10756" max="11009" width="9" style="42"/>
    <col min="11010" max="11010" width="20.5" style="42" customWidth="1"/>
    <col min="11011" max="11011" width="12.375" style="42" customWidth="1"/>
    <col min="11012" max="11265" width="9" style="42"/>
    <col min="11266" max="11266" width="20.5" style="42" customWidth="1"/>
    <col min="11267" max="11267" width="12.375" style="42" customWidth="1"/>
    <col min="11268" max="11521" width="9" style="42"/>
    <col min="11522" max="11522" width="20.5" style="42" customWidth="1"/>
    <col min="11523" max="11523" width="12.375" style="42" customWidth="1"/>
    <col min="11524" max="11777" width="9" style="42"/>
    <col min="11778" max="11778" width="20.5" style="42" customWidth="1"/>
    <col min="11779" max="11779" width="12.375" style="42" customWidth="1"/>
    <col min="11780" max="12033" width="9" style="42"/>
    <col min="12034" max="12034" width="20.5" style="42" customWidth="1"/>
    <col min="12035" max="12035" width="12.375" style="42" customWidth="1"/>
    <col min="12036" max="12289" width="9" style="42"/>
    <col min="12290" max="12290" width="20.5" style="42" customWidth="1"/>
    <col min="12291" max="12291" width="12.375" style="42" customWidth="1"/>
    <col min="12292" max="12545" width="9" style="42"/>
    <col min="12546" max="12546" width="20.5" style="42" customWidth="1"/>
    <col min="12547" max="12547" width="12.375" style="42" customWidth="1"/>
    <col min="12548" max="12801" width="9" style="42"/>
    <col min="12802" max="12802" width="20.5" style="42" customWidth="1"/>
    <col min="12803" max="12803" width="12.375" style="42" customWidth="1"/>
    <col min="12804" max="13057" width="9" style="42"/>
    <col min="13058" max="13058" width="20.5" style="42" customWidth="1"/>
    <col min="13059" max="13059" width="12.375" style="42" customWidth="1"/>
    <col min="13060" max="13313" width="9" style="42"/>
    <col min="13314" max="13314" width="20.5" style="42" customWidth="1"/>
    <col min="13315" max="13315" width="12.375" style="42" customWidth="1"/>
    <col min="13316" max="13569" width="9" style="42"/>
    <col min="13570" max="13570" width="20.5" style="42" customWidth="1"/>
    <col min="13571" max="13571" width="12.375" style="42" customWidth="1"/>
    <col min="13572" max="13825" width="9" style="42"/>
    <col min="13826" max="13826" width="20.5" style="42" customWidth="1"/>
    <col min="13827" max="13827" width="12.375" style="42" customWidth="1"/>
    <col min="13828" max="14081" width="9" style="42"/>
    <col min="14082" max="14082" width="20.5" style="42" customWidth="1"/>
    <col min="14083" max="14083" width="12.375" style="42" customWidth="1"/>
    <col min="14084" max="14337" width="9" style="42"/>
    <col min="14338" max="14338" width="20.5" style="42" customWidth="1"/>
    <col min="14339" max="14339" width="12.375" style="42" customWidth="1"/>
    <col min="14340" max="14593" width="9" style="42"/>
    <col min="14594" max="14594" width="20.5" style="42" customWidth="1"/>
    <col min="14595" max="14595" width="12.375" style="42" customWidth="1"/>
    <col min="14596" max="14849" width="9" style="42"/>
    <col min="14850" max="14850" width="20.5" style="42" customWidth="1"/>
    <col min="14851" max="14851" width="12.375" style="42" customWidth="1"/>
    <col min="14852" max="15105" width="9" style="42"/>
    <col min="15106" max="15106" width="20.5" style="42" customWidth="1"/>
    <col min="15107" max="15107" width="12.375" style="42" customWidth="1"/>
    <col min="15108" max="15361" width="9" style="42"/>
    <col min="15362" max="15362" width="20.5" style="42" customWidth="1"/>
    <col min="15363" max="15363" width="12.375" style="42" customWidth="1"/>
    <col min="15364" max="15617" width="9" style="42"/>
    <col min="15618" max="15618" width="20.5" style="42" customWidth="1"/>
    <col min="15619" max="15619" width="12.375" style="42" customWidth="1"/>
    <col min="15620" max="15873" width="9" style="42"/>
    <col min="15874" max="15874" width="20.5" style="42" customWidth="1"/>
    <col min="15875" max="15875" width="12.375" style="42" customWidth="1"/>
    <col min="15876" max="16129" width="9" style="42"/>
    <col min="16130" max="16130" width="20.5" style="42" customWidth="1"/>
    <col min="16131" max="16131" width="12.375" style="42" customWidth="1"/>
    <col min="16132" max="16384" width="9" style="42"/>
  </cols>
  <sheetData>
    <row r="2" spans="1:3">
      <c r="A2" s="41" t="s">
        <v>235</v>
      </c>
      <c r="B2" s="112" t="s">
        <v>277</v>
      </c>
      <c r="C2" s="112"/>
    </row>
    <row r="3" spans="1:3">
      <c r="A3" s="43">
        <v>1</v>
      </c>
      <c r="B3" s="44" t="s">
        <v>323</v>
      </c>
      <c r="C3" s="45">
        <v>200000</v>
      </c>
    </row>
    <row r="4" spans="1:3">
      <c r="A4" s="44"/>
      <c r="B4" s="44" t="s">
        <v>324</v>
      </c>
      <c r="C4" s="45">
        <f>130000*9/12*0.25</f>
        <v>24375</v>
      </c>
    </row>
    <row r="5" spans="1:3">
      <c r="A5" s="44"/>
      <c r="B5" s="44" t="s">
        <v>239</v>
      </c>
      <c r="C5" s="45">
        <f>-20000*0.75*1/2</f>
        <v>-7500</v>
      </c>
    </row>
    <row r="6" spans="1:3">
      <c r="A6" s="44"/>
      <c r="B6" s="44" t="s">
        <v>325</v>
      </c>
      <c r="C6" s="45">
        <f>-(82000-60000)*0.25*0.75*3.75/4</f>
        <v>-3867.1875</v>
      </c>
    </row>
    <row r="7" spans="1:3">
      <c r="A7" s="43">
        <v>2</v>
      </c>
      <c r="B7" s="46" t="s">
        <v>326</v>
      </c>
      <c r="C7" s="45"/>
    </row>
    <row r="8" spans="1:3">
      <c r="A8" s="44"/>
      <c r="B8" s="44" t="s">
        <v>242</v>
      </c>
      <c r="C8" s="45">
        <f>-20000*0.75*1/2</f>
        <v>-7500</v>
      </c>
    </row>
    <row r="9" spans="1:3">
      <c r="A9" s="44"/>
      <c r="B9" s="44" t="s">
        <v>243</v>
      </c>
      <c r="C9" s="47">
        <f>-(130000-230000*1/2)*0.25*0.37*0.75</f>
        <v>-1040.625</v>
      </c>
    </row>
    <row r="10" spans="1:3">
      <c r="A10" s="44"/>
      <c r="B10" s="43" t="s">
        <v>257</v>
      </c>
      <c r="C10" s="48">
        <f>SUM(C3:C9)</f>
        <v>204467.1875</v>
      </c>
    </row>
    <row r="11" spans="1:3">
      <c r="A11" s="44"/>
      <c r="B11" s="44" t="s">
        <v>327</v>
      </c>
      <c r="C11" s="45">
        <f>65000*0.25*8/12</f>
        <v>10833.333333333334</v>
      </c>
    </row>
    <row r="12" spans="1:3">
      <c r="A12" s="44"/>
      <c r="B12" s="44" t="s">
        <v>328</v>
      </c>
      <c r="C12" s="45">
        <f>3867*1/3.75*8/12</f>
        <v>687.4666666666667</v>
      </c>
    </row>
    <row r="13" spans="1:3">
      <c r="A13" s="44"/>
      <c r="B13" s="44" t="s">
        <v>329</v>
      </c>
      <c r="C13" s="47">
        <v>1041</v>
      </c>
    </row>
    <row r="14" spans="1:3">
      <c r="A14" s="44"/>
      <c r="B14" s="43" t="s">
        <v>330</v>
      </c>
      <c r="C14" s="45">
        <f>SUM(C10:C13)</f>
        <v>217028.98750000002</v>
      </c>
    </row>
    <row r="15" spans="1:3">
      <c r="A15" s="44"/>
      <c r="B15" s="44" t="s">
        <v>284</v>
      </c>
      <c r="C15" s="45">
        <f>-(217029+(3867-687))</f>
        <v>-220209</v>
      </c>
    </row>
    <row r="16" spans="1:3">
      <c r="A16" s="44"/>
      <c r="B16" s="44" t="s">
        <v>331</v>
      </c>
      <c r="C16" s="47">
        <v>3180</v>
      </c>
    </row>
    <row r="17" spans="1:3">
      <c r="A17" s="44"/>
      <c r="B17" s="44"/>
      <c r="C17" s="45">
        <f>SUM(C14:C16)</f>
        <v>-1.2499999982537702E-2</v>
      </c>
    </row>
    <row r="18" spans="1:3">
      <c r="A18" s="44"/>
      <c r="B18" s="44"/>
      <c r="C18" s="45"/>
    </row>
    <row r="19" spans="1:3">
      <c r="A19" s="44"/>
      <c r="B19" s="44"/>
      <c r="C19" s="45"/>
    </row>
    <row r="20" spans="1:3">
      <c r="A20" s="44"/>
      <c r="B20" s="112" t="s">
        <v>332</v>
      </c>
      <c r="C20" s="112"/>
    </row>
    <row r="21" spans="1:3">
      <c r="A21" s="44"/>
      <c r="B21" s="46" t="s">
        <v>291</v>
      </c>
    </row>
    <row r="22" spans="1:3">
      <c r="A22" s="44"/>
      <c r="B22" s="44" t="s">
        <v>292</v>
      </c>
      <c r="C22" s="45">
        <v>150000</v>
      </c>
    </row>
    <row r="23" spans="1:3">
      <c r="A23" s="44"/>
      <c r="B23" s="44" t="s">
        <v>333</v>
      </c>
      <c r="C23" s="45">
        <v>220209</v>
      </c>
    </row>
    <row r="24" spans="1:3">
      <c r="A24" s="44"/>
      <c r="B24" s="44" t="s">
        <v>334</v>
      </c>
      <c r="C24" s="45">
        <f>150000*10/15</f>
        <v>100000</v>
      </c>
    </row>
    <row r="25" spans="1:3">
      <c r="A25" s="44"/>
      <c r="B25" s="44" t="s">
        <v>294</v>
      </c>
      <c r="C25" s="45">
        <f>C22+C24-C23</f>
        <v>29791</v>
      </c>
    </row>
    <row r="26" spans="1:3">
      <c r="A26" s="44"/>
      <c r="B26" s="44"/>
      <c r="C26" s="44"/>
    </row>
    <row r="27" spans="1:3">
      <c r="A27" s="44"/>
      <c r="B27" s="46" t="s">
        <v>335</v>
      </c>
      <c r="C27" s="44"/>
    </row>
    <row r="28" spans="1:3">
      <c r="A28" s="44"/>
      <c r="B28" s="44" t="s">
        <v>336</v>
      </c>
      <c r="C28" s="44">
        <v>3180</v>
      </c>
    </row>
    <row r="29" spans="1:3">
      <c r="A29" s="44"/>
      <c r="B29" s="44" t="s">
        <v>337</v>
      </c>
      <c r="C29" s="44">
        <f>3180/0.75</f>
        <v>4240</v>
      </c>
    </row>
    <row r="30" spans="1:3">
      <c r="B30" s="44" t="s">
        <v>338</v>
      </c>
      <c r="C30" s="44">
        <f>C29*0.25</f>
        <v>1060</v>
      </c>
    </row>
    <row r="31" spans="1:3">
      <c r="B31" s="44"/>
      <c r="C31" s="44"/>
    </row>
    <row r="32" spans="1:3">
      <c r="B32" s="46" t="s">
        <v>339</v>
      </c>
      <c r="C32" s="44"/>
    </row>
    <row r="33" spans="1:3">
      <c r="B33" s="44" t="s">
        <v>340</v>
      </c>
      <c r="C33" s="44">
        <v>1081</v>
      </c>
    </row>
    <row r="34" spans="1:3">
      <c r="B34" s="44" t="s">
        <v>293</v>
      </c>
      <c r="C34" s="44">
        <v>1081</v>
      </c>
    </row>
    <row r="35" spans="1:3">
      <c r="B35" s="44"/>
      <c r="C35" s="44"/>
    </row>
    <row r="38" spans="1:3">
      <c r="B38" s="112" t="s">
        <v>235</v>
      </c>
      <c r="C38" s="112"/>
    </row>
    <row r="39" spans="1:3">
      <c r="A39" s="43">
        <v>1</v>
      </c>
      <c r="B39" s="111" t="s">
        <v>259</v>
      </c>
      <c r="C39" s="111"/>
    </row>
    <row r="40" spans="1:3">
      <c r="B40" s="44" t="s">
        <v>149</v>
      </c>
      <c r="C40" s="44">
        <v>200000</v>
      </c>
    </row>
    <row r="41" spans="1:3">
      <c r="B41" s="44" t="s">
        <v>260</v>
      </c>
      <c r="C41" s="46">
        <f>-400000*0.25</f>
        <v>-100000</v>
      </c>
    </row>
    <row r="42" spans="1:3">
      <c r="B42" s="44" t="s">
        <v>261</v>
      </c>
      <c r="C42" s="44">
        <f>SUM(C40:C41)</f>
        <v>100000</v>
      </c>
    </row>
    <row r="43" spans="1:3">
      <c r="C43" s="44"/>
    </row>
    <row r="44" spans="1:3">
      <c r="B44" s="52" t="s">
        <v>262</v>
      </c>
      <c r="C44" s="44"/>
    </row>
    <row r="45" spans="1:3">
      <c r="B45" s="44" t="s">
        <v>263</v>
      </c>
      <c r="C45" s="44">
        <f>(230000-150000)*0.25</f>
        <v>20000</v>
      </c>
    </row>
    <row r="46" spans="1:3">
      <c r="B46" s="44" t="s">
        <v>264</v>
      </c>
      <c r="C46" s="44">
        <f>-C45*0.25</f>
        <v>-5000</v>
      </c>
    </row>
    <row r="47" spans="1:3">
      <c r="B47" s="44" t="s">
        <v>341</v>
      </c>
      <c r="C47" s="44">
        <v>0</v>
      </c>
    </row>
    <row r="48" spans="1:3">
      <c r="B48" s="44" t="s">
        <v>176</v>
      </c>
      <c r="C48" s="44">
        <f>C49-SUM(C45:C47)</f>
        <v>85000</v>
      </c>
    </row>
    <row r="49" spans="1:3">
      <c r="B49" s="43" t="s">
        <v>261</v>
      </c>
      <c r="C49" s="43">
        <v>100000</v>
      </c>
    </row>
    <row r="51" spans="1:3">
      <c r="A51" s="42" t="s">
        <v>266</v>
      </c>
      <c r="B51" s="53" t="s">
        <v>342</v>
      </c>
    </row>
    <row r="52" spans="1:3">
      <c r="B52" s="49" t="s">
        <v>343</v>
      </c>
    </row>
    <row r="53" spans="1:3">
      <c r="B53" s="42" t="s">
        <v>344</v>
      </c>
    </row>
    <row r="54" spans="1:3">
      <c r="B54" s="49" t="s">
        <v>345</v>
      </c>
    </row>
    <row r="57" spans="1:3">
      <c r="A57" s="43">
        <v>2</v>
      </c>
      <c r="B57" s="113" t="s">
        <v>346</v>
      </c>
      <c r="C57" s="114"/>
    </row>
    <row r="58" spans="1:3">
      <c r="B58" s="49" t="s">
        <v>347</v>
      </c>
      <c r="C58" s="45"/>
    </row>
    <row r="59" spans="1:3">
      <c r="B59" s="49" t="s">
        <v>348</v>
      </c>
      <c r="C59" s="45"/>
    </row>
    <row r="60" spans="1:3">
      <c r="B60" s="49" t="s">
        <v>269</v>
      </c>
      <c r="C60" s="45"/>
    </row>
    <row r="61" spans="1:3">
      <c r="B61" s="49" t="s">
        <v>270</v>
      </c>
      <c r="C61" s="45">
        <v>-7500</v>
      </c>
    </row>
    <row r="62" spans="1:3">
      <c r="B62" s="49" t="s">
        <v>271</v>
      </c>
      <c r="C62" s="45">
        <f>-(130000-230000*1/2)*0.25*0.37*0.75</f>
        <v>-1040.625</v>
      </c>
    </row>
  </sheetData>
  <sheetProtection password="D3EB" sheet="1" objects="1" scenarios="1"/>
  <mergeCells count="5">
    <mergeCell ref="B2:C2"/>
    <mergeCell ref="B20:C20"/>
    <mergeCell ref="B38:C38"/>
    <mergeCell ref="B39:C39"/>
    <mergeCell ref="B57:C57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7"/>
  <sheetViews>
    <sheetView rightToLeft="1" topLeftCell="A265" zoomScale="85" zoomScaleNormal="85" workbookViewId="0">
      <selection activeCell="F279" sqref="F279"/>
    </sheetView>
  </sheetViews>
  <sheetFormatPr defaultRowHeight="14.25"/>
  <cols>
    <col min="1" max="1" width="4.125" customWidth="1"/>
    <col min="2" max="2" width="8.25" style="2" customWidth="1"/>
    <col min="3" max="3" width="12.625" customWidth="1"/>
    <col min="4" max="4" width="11.25" customWidth="1"/>
    <col min="5" max="5" width="11" customWidth="1"/>
    <col min="6" max="6" width="12.5" customWidth="1"/>
    <col min="7" max="8" width="9.25" customWidth="1"/>
    <col min="9" max="9" width="9.75" customWidth="1"/>
    <col min="10" max="10" width="8.875" customWidth="1"/>
    <col min="11" max="11" width="7.75" customWidth="1"/>
    <col min="12" max="12" width="8.625" customWidth="1"/>
    <col min="13" max="13" width="5.625" bestFit="1" customWidth="1"/>
    <col min="14" max="16" width="7.125" bestFit="1" customWidth="1"/>
  </cols>
  <sheetData>
    <row r="1" spans="1:11" ht="15">
      <c r="A1" s="115" t="s">
        <v>349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3" spans="1:11" ht="15">
      <c r="A3" s="54" t="s">
        <v>350</v>
      </c>
      <c r="B3" s="55"/>
      <c r="C3" s="56"/>
      <c r="D3" s="56"/>
    </row>
    <row r="5" spans="1:11">
      <c r="A5" t="s">
        <v>351</v>
      </c>
      <c r="D5" s="57">
        <f>C35</f>
        <v>95000</v>
      </c>
    </row>
    <row r="6" spans="1:11">
      <c r="A6" t="s">
        <v>352</v>
      </c>
      <c r="D6" s="57">
        <f>100000*6/12*0.4</f>
        <v>20000</v>
      </c>
      <c r="F6" t="s">
        <v>353</v>
      </c>
    </row>
    <row r="7" spans="1:11">
      <c r="A7" t="s">
        <v>354</v>
      </c>
      <c r="D7" s="57">
        <f>G64</f>
        <v>1202.8773584905657</v>
      </c>
    </row>
    <row r="8" spans="1:11">
      <c r="A8" t="s">
        <v>355</v>
      </c>
      <c r="D8" s="57">
        <f>E73</f>
        <v>18200</v>
      </c>
    </row>
    <row r="9" spans="1:11">
      <c r="A9" s="2" t="s">
        <v>356</v>
      </c>
      <c r="D9" s="58">
        <f>E83</f>
        <v>337.49999999999977</v>
      </c>
    </row>
    <row r="10" spans="1:11">
      <c r="A10" s="2" t="s">
        <v>357</v>
      </c>
      <c r="D10" s="57">
        <f>SUM(D5:D9)</f>
        <v>134740.37735849057</v>
      </c>
    </row>
    <row r="11" spans="1:11">
      <c r="A11" s="2" t="s">
        <v>358</v>
      </c>
      <c r="D11" s="58">
        <f>I64</f>
        <v>0</v>
      </c>
    </row>
    <row r="12" spans="1:11">
      <c r="A12" s="2" t="s">
        <v>359</v>
      </c>
      <c r="D12" s="57">
        <f>D11+D10</f>
        <v>134740.37735849057</v>
      </c>
    </row>
    <row r="13" spans="1:11">
      <c r="A13" t="s">
        <v>360</v>
      </c>
      <c r="D13" s="57">
        <f>100000*3/12*0.4</f>
        <v>10000</v>
      </c>
      <c r="F13" t="s">
        <v>361</v>
      </c>
    </row>
    <row r="14" spans="1:11">
      <c r="A14" t="s">
        <v>362</v>
      </c>
      <c r="D14" s="57">
        <f>J64</f>
        <v>-10071.061320754718</v>
      </c>
    </row>
    <row r="15" spans="1:11">
      <c r="A15" t="s">
        <v>363</v>
      </c>
      <c r="D15" s="57">
        <f>E139</f>
        <v>3900</v>
      </c>
    </row>
    <row r="16" spans="1:11">
      <c r="A16" s="2" t="s">
        <v>364</v>
      </c>
      <c r="D16" s="58">
        <f>E150</f>
        <v>243.75</v>
      </c>
    </row>
    <row r="17" spans="1:7">
      <c r="A17" s="2" t="s">
        <v>365</v>
      </c>
      <c r="D17" s="57">
        <f>SUM(D12:D16)</f>
        <v>138813.06603773584</v>
      </c>
    </row>
    <row r="18" spans="1:7">
      <c r="A18" s="2" t="s">
        <v>366</v>
      </c>
      <c r="D18" s="58">
        <f>D19-D17</f>
        <v>61837.386792452802</v>
      </c>
    </row>
    <row r="19" spans="1:7">
      <c r="A19" s="2" t="s">
        <v>367</v>
      </c>
      <c r="D19" s="57">
        <f>0.32*(D17/0.4+280000)</f>
        <v>200650.45283018865</v>
      </c>
      <c r="G19" t="s">
        <v>368</v>
      </c>
    </row>
    <row r="20" spans="1:7">
      <c r="A20" t="s">
        <v>369</v>
      </c>
      <c r="D20" s="57">
        <f>100000*6/12*0.32</f>
        <v>16000</v>
      </c>
      <c r="F20" t="s">
        <v>370</v>
      </c>
    </row>
    <row r="21" spans="1:7">
      <c r="A21" t="s">
        <v>371</v>
      </c>
      <c r="D21" s="57">
        <f>M64</f>
        <v>-701.69811320754707</v>
      </c>
    </row>
    <row r="22" spans="1:7">
      <c r="A22" t="s">
        <v>372</v>
      </c>
      <c r="D22" s="57">
        <f>E208</f>
        <v>-12480</v>
      </c>
    </row>
    <row r="23" spans="1:7">
      <c r="A23" s="2" t="s">
        <v>373</v>
      </c>
      <c r="D23" s="58">
        <f>E219</f>
        <v>4015.8695652173915</v>
      </c>
    </row>
    <row r="24" spans="1:7">
      <c r="A24" s="2" t="s">
        <v>374</v>
      </c>
      <c r="D24" s="57">
        <f>SUM(D19:D23)</f>
        <v>207484.62428219846</v>
      </c>
    </row>
    <row r="25" spans="1:7">
      <c r="A25" s="2" t="s">
        <v>375</v>
      </c>
      <c r="D25" s="59">
        <f>480000*0.6</f>
        <v>288000</v>
      </c>
      <c r="F25" t="s">
        <v>376</v>
      </c>
    </row>
    <row r="26" spans="1:7">
      <c r="A26" s="2" t="s">
        <v>377</v>
      </c>
      <c r="D26" s="59">
        <f>100000*3/12*0.425</f>
        <v>10625</v>
      </c>
      <c r="F26" t="s">
        <v>378</v>
      </c>
    </row>
    <row r="27" spans="1:7">
      <c r="A27" s="2" t="s">
        <v>379</v>
      </c>
      <c r="D27" s="59">
        <f>O64+I276</f>
        <v>7483.7588061444276</v>
      </c>
    </row>
    <row r="28" spans="1:7">
      <c r="A28" t="s">
        <v>380</v>
      </c>
      <c r="D28" s="59">
        <f>D280</f>
        <v>-12313.696808510638</v>
      </c>
    </row>
    <row r="29" spans="1:7">
      <c r="A29" s="2" t="s">
        <v>381</v>
      </c>
      <c r="D29" s="58">
        <f>E287</f>
        <v>-3884.7656249999991</v>
      </c>
    </row>
    <row r="30" spans="1:7">
      <c r="A30" s="2" t="s">
        <v>382</v>
      </c>
      <c r="D30" s="57">
        <f>SUM(D24:D29)</f>
        <v>497394.92065483227</v>
      </c>
    </row>
    <row r="31" spans="1:7">
      <c r="D31" s="57"/>
    </row>
    <row r="32" spans="1:7" ht="15">
      <c r="B32" s="60" t="s">
        <v>383</v>
      </c>
      <c r="D32" s="57"/>
    </row>
    <row r="33" spans="1:17">
      <c r="A33" s="61" t="s">
        <v>384</v>
      </c>
      <c r="B33" s="62" t="s">
        <v>385</v>
      </c>
      <c r="D33" s="57"/>
      <c r="Q33" s="3"/>
    </row>
    <row r="34" spans="1:17">
      <c r="D34" s="57"/>
    </row>
    <row r="35" spans="1:17">
      <c r="B35" s="2" t="s">
        <v>386</v>
      </c>
      <c r="C35" s="3">
        <v>95000</v>
      </c>
      <c r="E35" s="5" t="s">
        <v>387</v>
      </c>
    </row>
    <row r="36" spans="1:17">
      <c r="B36" t="s">
        <v>388</v>
      </c>
      <c r="C36" s="28">
        <f>D47*0.4</f>
        <v>70300</v>
      </c>
      <c r="D36" t="s">
        <v>389</v>
      </c>
      <c r="F36" t="s">
        <v>390</v>
      </c>
      <c r="G36" s="3">
        <v>15000</v>
      </c>
    </row>
    <row r="37" spans="1:17">
      <c r="B37" t="s">
        <v>391</v>
      </c>
      <c r="C37" s="3">
        <f>C35-C36</f>
        <v>24700</v>
      </c>
      <c r="F37" t="s">
        <v>392</v>
      </c>
      <c r="G37" s="3">
        <v>25000</v>
      </c>
    </row>
    <row r="38" spans="1:17" ht="15">
      <c r="F38" t="s">
        <v>393</v>
      </c>
      <c r="G38" s="63">
        <f>(220000-250000*6.5/8)*0.65</f>
        <v>10968.75</v>
      </c>
      <c r="J38" t="s">
        <v>394</v>
      </c>
    </row>
    <row r="39" spans="1:17">
      <c r="F39" t="s">
        <v>390</v>
      </c>
      <c r="G39" s="28">
        <v>180000</v>
      </c>
    </row>
    <row r="40" spans="1:17">
      <c r="F40" t="s">
        <v>11</v>
      </c>
      <c r="G40" s="3">
        <f>SUM(G36:G39)</f>
        <v>230968.75</v>
      </c>
    </row>
    <row r="41" spans="1:17">
      <c r="C41" s="1" t="s">
        <v>395</v>
      </c>
    </row>
    <row r="42" spans="1:17">
      <c r="C42" t="s">
        <v>396</v>
      </c>
      <c r="D42" s="3">
        <f>G40</f>
        <v>230968.75</v>
      </c>
    </row>
    <row r="43" spans="1:17">
      <c r="C43" t="s">
        <v>397</v>
      </c>
      <c r="D43" s="3">
        <f>(250000*6.5/8-220000)*0.65</f>
        <v>-10968.75</v>
      </c>
      <c r="G43" t="s">
        <v>398</v>
      </c>
    </row>
    <row r="44" spans="1:17">
      <c r="C44" t="s">
        <v>399</v>
      </c>
      <c r="D44" s="3"/>
    </row>
    <row r="45" spans="1:17">
      <c r="C45" t="s">
        <v>400</v>
      </c>
      <c r="D45" s="3">
        <f>(300000*13.25/15-320000)*0.65</f>
        <v>-35750</v>
      </c>
      <c r="G45" t="s">
        <v>401</v>
      </c>
    </row>
    <row r="46" spans="1:17">
      <c r="C46" t="s">
        <v>402</v>
      </c>
      <c r="D46" s="28">
        <f>(150000-160000)*0.85</f>
        <v>-8500</v>
      </c>
      <c r="G46" t="s">
        <v>403</v>
      </c>
    </row>
    <row r="47" spans="1:17">
      <c r="C47" t="s">
        <v>404</v>
      </c>
      <c r="D47" s="3">
        <f>SUM(D42:D46)</f>
        <v>175750</v>
      </c>
    </row>
    <row r="48" spans="1:17">
      <c r="D48" s="3"/>
      <c r="K48" s="64"/>
      <c r="L48" s="64"/>
    </row>
    <row r="49" spans="2:19">
      <c r="D49" s="3"/>
      <c r="K49" s="64"/>
      <c r="L49" s="64"/>
    </row>
    <row r="50" spans="2:19">
      <c r="D50" s="3"/>
      <c r="K50" s="64"/>
      <c r="L50" s="64"/>
    </row>
    <row r="51" spans="2:19">
      <c r="D51" s="3"/>
      <c r="K51" s="64">
        <v>0.4</v>
      </c>
      <c r="L51" s="64">
        <v>0.32</v>
      </c>
      <c r="O51" s="64"/>
    </row>
    <row r="52" spans="2:19" ht="15">
      <c r="D52" s="3"/>
      <c r="G52" s="65" t="s">
        <v>170</v>
      </c>
      <c r="I52" s="65" t="s">
        <v>405</v>
      </c>
      <c r="J52" s="65" t="s">
        <v>170</v>
      </c>
      <c r="K52" s="66" t="s">
        <v>406</v>
      </c>
      <c r="L52" s="66" t="s">
        <v>406</v>
      </c>
      <c r="M52" s="66" t="s">
        <v>170</v>
      </c>
      <c r="N52" s="66" t="s">
        <v>406</v>
      </c>
      <c r="O52" s="66" t="s">
        <v>170</v>
      </c>
      <c r="P52" s="66" t="s">
        <v>406</v>
      </c>
    </row>
    <row r="53" spans="2:19" ht="15">
      <c r="B53" s="1" t="s">
        <v>407</v>
      </c>
      <c r="D53" s="67" t="s">
        <v>408</v>
      </c>
      <c r="G53" s="68" t="s">
        <v>409</v>
      </c>
      <c r="H53" s="67" t="s">
        <v>410</v>
      </c>
      <c r="I53" s="65" t="s">
        <v>411</v>
      </c>
      <c r="J53" s="68" t="s">
        <v>412</v>
      </c>
      <c r="K53" s="69" t="s">
        <v>413</v>
      </c>
      <c r="L53" s="69" t="s">
        <v>414</v>
      </c>
      <c r="M53" s="70" t="s">
        <v>415</v>
      </c>
      <c r="N53" s="69" t="s">
        <v>416</v>
      </c>
      <c r="O53" s="70" t="s">
        <v>417</v>
      </c>
      <c r="P53" s="69" t="s">
        <v>418</v>
      </c>
    </row>
    <row r="54" spans="2:19">
      <c r="B54" t="s">
        <v>265</v>
      </c>
      <c r="D54" s="3">
        <f>(220000-250000*6.5/8)*0.4</f>
        <v>6750</v>
      </c>
      <c r="F54" s="71" t="s">
        <v>419</v>
      </c>
      <c r="G54" s="57">
        <f>-D54*0.5/6.5</f>
        <v>-519.23076923076928</v>
      </c>
      <c r="H54" s="57">
        <f t="shared" ref="H54:H63" si="0">G54+D54</f>
        <v>6230.7692307692305</v>
      </c>
      <c r="I54" s="72"/>
      <c r="J54" s="57">
        <f>-H54*0.25/6</f>
        <v>-259.61538461538458</v>
      </c>
      <c r="K54" s="57">
        <f>J54+I54+H54</f>
        <v>5971.1538461538457</v>
      </c>
      <c r="L54" s="57">
        <f t="shared" ref="L54:L63" si="1">K54*$L$51/$K$51</f>
        <v>4776.9230769230762</v>
      </c>
      <c r="M54" s="57">
        <f>-L54*0.5/5.75</f>
        <v>-415.3846153846153</v>
      </c>
      <c r="N54" s="57">
        <f>L54+M54</f>
        <v>4361.538461538461</v>
      </c>
      <c r="O54" s="57">
        <f>-N54*0.25/5.25</f>
        <v>-207.69230769230768</v>
      </c>
      <c r="P54" s="57">
        <f>N54+O54</f>
        <v>4153.8461538461534</v>
      </c>
    </row>
    <row r="55" spans="2:19">
      <c r="B55" t="s">
        <v>420</v>
      </c>
      <c r="D55" s="3">
        <f>-0.35*D54</f>
        <v>-2362.5</v>
      </c>
      <c r="F55" s="71"/>
      <c r="G55" s="57">
        <f>-0.35*G54</f>
        <v>181.73076923076923</v>
      </c>
      <c r="H55" s="57">
        <f t="shared" si="0"/>
        <v>-2180.7692307692309</v>
      </c>
      <c r="I55" s="72"/>
      <c r="J55" s="57">
        <f>-0.35*J54</f>
        <v>90.865384615384599</v>
      </c>
      <c r="K55" s="57">
        <f t="shared" ref="K55:K63" si="2">J55+I55+H55</f>
        <v>-2089.9038461538462</v>
      </c>
      <c r="L55" s="57">
        <f t="shared" si="1"/>
        <v>-1671.9230769230769</v>
      </c>
      <c r="M55" s="57">
        <f>-0.35*M54</f>
        <v>145.38461538461536</v>
      </c>
      <c r="N55" s="57">
        <f t="shared" ref="N55:P64" si="3">L55+M55</f>
        <v>-1526.5384615384614</v>
      </c>
      <c r="O55" s="57">
        <f>P55-N55</f>
        <v>446.49846153846147</v>
      </c>
      <c r="P55" s="57">
        <f>-(4154/5*0.3+4154*4/5*0.25)</f>
        <v>-1080.04</v>
      </c>
      <c r="S55" s="71" t="s">
        <v>421</v>
      </c>
    </row>
    <row r="56" spans="2:19">
      <c r="B56" t="s">
        <v>422</v>
      </c>
      <c r="D56" s="3">
        <f>(320000-300000*13.25/15)*0.4</f>
        <v>22000</v>
      </c>
      <c r="F56" s="71" t="s">
        <v>423</v>
      </c>
      <c r="G56" s="57">
        <f>-D56*0.5/13.25</f>
        <v>-830.18867924528297</v>
      </c>
      <c r="H56" s="57">
        <f t="shared" si="0"/>
        <v>21169.811320754718</v>
      </c>
      <c r="I56" s="72"/>
      <c r="J56" s="57">
        <f>-H56*0.25/12.75</f>
        <v>-415.09433962264154</v>
      </c>
      <c r="K56" s="57">
        <f t="shared" si="2"/>
        <v>20754.716981132075</v>
      </c>
      <c r="L56" s="57">
        <f t="shared" si="1"/>
        <v>16603.773584905659</v>
      </c>
      <c r="M56" s="57">
        <f>-L56*0.5/12.5</f>
        <v>-664.15094339622635</v>
      </c>
      <c r="N56" s="57">
        <f t="shared" si="3"/>
        <v>15939.622641509433</v>
      </c>
      <c r="O56" s="57">
        <f>-N56*0.25/12</f>
        <v>-332.07547169811318</v>
      </c>
      <c r="P56" s="57">
        <f>N56+O56</f>
        <v>15607.54716981132</v>
      </c>
    </row>
    <row r="57" spans="2:19">
      <c r="B57" t="s">
        <v>420</v>
      </c>
      <c r="D57" s="73">
        <f>-0.35*D56</f>
        <v>-7699.9999999999991</v>
      </c>
      <c r="F57" s="71"/>
      <c r="G57" s="57">
        <f>-0.35*G56</f>
        <v>290.56603773584902</v>
      </c>
      <c r="H57" s="57">
        <f t="shared" si="0"/>
        <v>-7409.4339622641501</v>
      </c>
      <c r="I57" s="72"/>
      <c r="J57" s="57">
        <f>-0.35*J56</f>
        <v>145.28301886792454</v>
      </c>
      <c r="K57" s="57">
        <f t="shared" si="2"/>
        <v>-7264.1509433962256</v>
      </c>
      <c r="L57" s="57">
        <f t="shared" si="1"/>
        <v>-5811.3207547169804</v>
      </c>
      <c r="M57" s="57">
        <f>-0.35*M56</f>
        <v>232.4528301886792</v>
      </c>
      <c r="N57" s="57">
        <f t="shared" si="3"/>
        <v>-5578.867924528301</v>
      </c>
      <c r="O57" s="57">
        <f>P57-N57</f>
        <v>1610.4509032517053</v>
      </c>
      <c r="P57" s="57">
        <f>-(15608/11.75*0.3+15608*10.75/11.75*0.25)</f>
        <v>-3968.4170212765957</v>
      </c>
      <c r="S57" s="71" t="s">
        <v>424</v>
      </c>
    </row>
    <row r="58" spans="2:19">
      <c r="B58" t="s">
        <v>402</v>
      </c>
      <c r="D58" s="73">
        <f>(160000-150000)*0.4</f>
        <v>4000</v>
      </c>
      <c r="F58" s="71" t="s">
        <v>425</v>
      </c>
      <c r="G58" s="57">
        <v>0</v>
      </c>
      <c r="H58" s="57">
        <f t="shared" si="0"/>
        <v>4000</v>
      </c>
      <c r="I58" s="72"/>
      <c r="J58" s="57">
        <v>0</v>
      </c>
      <c r="K58" s="57">
        <f t="shared" si="2"/>
        <v>4000</v>
      </c>
      <c r="L58" s="57">
        <f t="shared" si="1"/>
        <v>3200</v>
      </c>
      <c r="M58" s="57">
        <v>0</v>
      </c>
      <c r="N58" s="57">
        <f t="shared" si="3"/>
        <v>3200</v>
      </c>
      <c r="O58" s="57">
        <v>0</v>
      </c>
      <c r="P58" s="57">
        <f>O58+N58</f>
        <v>3200</v>
      </c>
    </row>
    <row r="59" spans="2:19">
      <c r="B59" t="s">
        <v>420</v>
      </c>
      <c r="D59" s="73">
        <f>-0.15*D58</f>
        <v>-600</v>
      </c>
      <c r="F59" s="71"/>
      <c r="G59" s="57">
        <v>0</v>
      </c>
      <c r="H59" s="57">
        <f t="shared" si="0"/>
        <v>-600</v>
      </c>
      <c r="I59" s="72"/>
      <c r="J59" s="57">
        <v>0</v>
      </c>
      <c r="K59" s="57">
        <f t="shared" si="2"/>
        <v>-600</v>
      </c>
      <c r="L59" s="57">
        <f t="shared" si="1"/>
        <v>-480</v>
      </c>
      <c r="M59" s="57">
        <v>0</v>
      </c>
      <c r="N59" s="57">
        <f t="shared" si="3"/>
        <v>-480</v>
      </c>
      <c r="O59" s="57">
        <v>0</v>
      </c>
      <c r="P59" s="57">
        <f>O59+N59</f>
        <v>-480</v>
      </c>
    </row>
    <row r="60" spans="2:19">
      <c r="B60" t="s">
        <v>426</v>
      </c>
      <c r="D60" s="73">
        <f>(15000-42000)*0.4</f>
        <v>-10800</v>
      </c>
      <c r="F60" s="71" t="s">
        <v>427</v>
      </c>
      <c r="G60" s="57">
        <f>(23000-15000)*0.4</f>
        <v>3200</v>
      </c>
      <c r="H60" s="57">
        <f t="shared" si="0"/>
        <v>-7600</v>
      </c>
      <c r="I60" s="72"/>
      <c r="J60" s="57">
        <v>0</v>
      </c>
      <c r="K60" s="57">
        <f t="shared" si="2"/>
        <v>-7600</v>
      </c>
      <c r="L60" s="57">
        <f t="shared" si="1"/>
        <v>-6080</v>
      </c>
      <c r="M60" s="57">
        <v>0</v>
      </c>
      <c r="N60" s="57">
        <f t="shared" si="3"/>
        <v>-6080</v>
      </c>
      <c r="O60" s="57">
        <f>-N60</f>
        <v>6080</v>
      </c>
      <c r="P60" s="57">
        <f>O60+N60</f>
        <v>0</v>
      </c>
    </row>
    <row r="61" spans="2:19">
      <c r="B61" t="s">
        <v>420</v>
      </c>
      <c r="D61" s="73">
        <f>-0.35*D60</f>
        <v>3779.9999999999995</v>
      </c>
      <c r="G61" s="57">
        <f>-0.35*G60</f>
        <v>-1120</v>
      </c>
      <c r="H61" s="57">
        <f t="shared" si="0"/>
        <v>2659.9999999999995</v>
      </c>
      <c r="I61" s="72"/>
      <c r="J61" s="57">
        <v>0</v>
      </c>
      <c r="K61" s="57">
        <f t="shared" si="2"/>
        <v>2659.9999999999995</v>
      </c>
      <c r="L61" s="57">
        <f t="shared" si="1"/>
        <v>2127.9999999999995</v>
      </c>
      <c r="M61" s="57">
        <v>0</v>
      </c>
      <c r="N61" s="57">
        <f t="shared" si="3"/>
        <v>2127.9999999999995</v>
      </c>
      <c r="O61" s="57">
        <f>-N61</f>
        <v>-2127.9999999999995</v>
      </c>
      <c r="P61" s="57">
        <f>O61+N61</f>
        <v>0</v>
      </c>
    </row>
    <row r="62" spans="2:19">
      <c r="B62" t="s">
        <v>428</v>
      </c>
      <c r="D62" s="74">
        <v>0</v>
      </c>
      <c r="G62" s="57">
        <v>0</v>
      </c>
      <c r="H62" s="57">
        <f t="shared" si="0"/>
        <v>0</v>
      </c>
      <c r="I62" s="57">
        <f>H63</f>
        <v>9632.5</v>
      </c>
      <c r="J62" s="57">
        <f>-I62</f>
        <v>-9632.5</v>
      </c>
      <c r="K62" s="57">
        <f t="shared" si="2"/>
        <v>0</v>
      </c>
      <c r="L62" s="57">
        <f t="shared" si="1"/>
        <v>0</v>
      </c>
      <c r="M62" s="57">
        <v>0</v>
      </c>
      <c r="N62" s="57">
        <f t="shared" si="3"/>
        <v>0</v>
      </c>
      <c r="O62" s="57">
        <v>0</v>
      </c>
      <c r="P62" s="72">
        <v>0</v>
      </c>
    </row>
    <row r="63" spans="2:19">
      <c r="B63" s="2" t="s">
        <v>176</v>
      </c>
      <c r="D63" s="75">
        <f>D64-D54-D55-D56-D57-D58-D59-D61-D60-D62</f>
        <v>9632.5</v>
      </c>
      <c r="G63" s="58">
        <v>0</v>
      </c>
      <c r="H63" s="58">
        <f t="shared" si="0"/>
        <v>9632.5</v>
      </c>
      <c r="I63" s="58">
        <f>-H63</f>
        <v>-9632.5</v>
      </c>
      <c r="J63" s="58">
        <v>0</v>
      </c>
      <c r="K63" s="58">
        <f t="shared" si="2"/>
        <v>0</v>
      </c>
      <c r="L63" s="58">
        <f t="shared" si="1"/>
        <v>0</v>
      </c>
      <c r="M63" s="58">
        <v>0</v>
      </c>
      <c r="N63" s="58">
        <f t="shared" si="3"/>
        <v>0</v>
      </c>
      <c r="O63" s="58">
        <v>0</v>
      </c>
      <c r="P63" s="36">
        <v>0</v>
      </c>
    </row>
    <row r="64" spans="2:19">
      <c r="B64" s="2" t="s">
        <v>11</v>
      </c>
      <c r="D64" s="73">
        <f>C37</f>
        <v>24700</v>
      </c>
      <c r="G64" s="57">
        <f t="shared" ref="G64:O64" si="4">SUM(G54:G63)</f>
        <v>1202.8773584905657</v>
      </c>
      <c r="H64" s="57">
        <f t="shared" si="4"/>
        <v>25902.877358490568</v>
      </c>
      <c r="I64" s="57">
        <f t="shared" si="4"/>
        <v>0</v>
      </c>
      <c r="J64" s="57">
        <f t="shared" si="4"/>
        <v>-10071.061320754718</v>
      </c>
      <c r="K64" s="57">
        <f t="shared" si="4"/>
        <v>15831.816037735851</v>
      </c>
      <c r="L64" s="57">
        <f t="shared" si="4"/>
        <v>12665.452830188678</v>
      </c>
      <c r="M64" s="57">
        <f t="shared" si="4"/>
        <v>-701.69811320754707</v>
      </c>
      <c r="N64" s="57">
        <f t="shared" si="3"/>
        <v>11963.754716981131</v>
      </c>
      <c r="O64" s="57">
        <f t="shared" si="4"/>
        <v>5469.1815853997468</v>
      </c>
      <c r="P64" s="57">
        <f t="shared" si="3"/>
        <v>17432.936302380876</v>
      </c>
    </row>
    <row r="66" spans="1:12">
      <c r="A66" s="61" t="s">
        <v>429</v>
      </c>
      <c r="B66" s="62" t="s">
        <v>430</v>
      </c>
    </row>
    <row r="67" spans="1:12">
      <c r="B67" s="2" t="s">
        <v>431</v>
      </c>
      <c r="E67" s="57">
        <f>480000-400000</f>
        <v>80000</v>
      </c>
      <c r="H67" t="s">
        <v>432</v>
      </c>
    </row>
    <row r="68" spans="1:12">
      <c r="B68" s="2" t="s">
        <v>433</v>
      </c>
      <c r="E68" s="58">
        <f>300000/15*0.5</f>
        <v>10000</v>
      </c>
      <c r="H68" t="s">
        <v>434</v>
      </c>
    </row>
    <row r="69" spans="1:12">
      <c r="B69" s="2" t="s">
        <v>435</v>
      </c>
      <c r="E69" s="57">
        <f>E67-E68</f>
        <v>70000</v>
      </c>
    </row>
    <row r="70" spans="1:12">
      <c r="E70" s="76">
        <v>0.65</v>
      </c>
    </row>
    <row r="71" spans="1:12">
      <c r="B71" s="2" t="s">
        <v>436</v>
      </c>
      <c r="E71" s="57">
        <f>E69*E70</f>
        <v>45500</v>
      </c>
    </row>
    <row r="72" spans="1:12">
      <c r="E72" s="76">
        <v>0.4</v>
      </c>
    </row>
    <row r="73" spans="1:12">
      <c r="B73" s="2" t="s">
        <v>437</v>
      </c>
      <c r="E73" s="57">
        <f>E71*E72</f>
        <v>18200</v>
      </c>
    </row>
    <row r="74" spans="1:12">
      <c r="E74" s="3"/>
    </row>
    <row r="75" spans="1:12">
      <c r="A75" s="61" t="s">
        <v>438</v>
      </c>
      <c r="B75" s="62" t="s">
        <v>439</v>
      </c>
      <c r="E75" s="3"/>
    </row>
    <row r="76" spans="1:12">
      <c r="A76" s="61"/>
      <c r="B76" s="62" t="s">
        <v>440</v>
      </c>
      <c r="E76" s="3"/>
      <c r="I76" s="62" t="s">
        <v>441</v>
      </c>
    </row>
    <row r="77" spans="1:12">
      <c r="B77" s="2" t="s">
        <v>442</v>
      </c>
      <c r="E77" s="57">
        <f>220000*0.5/6.5</f>
        <v>16923.076923076922</v>
      </c>
      <c r="G77" t="s">
        <v>443</v>
      </c>
    </row>
    <row r="78" spans="1:12">
      <c r="B78" s="2" t="s">
        <v>433</v>
      </c>
      <c r="E78" s="58">
        <f>250000*0.5/8</f>
        <v>15625</v>
      </c>
      <c r="G78" t="s">
        <v>444</v>
      </c>
      <c r="I78" t="s">
        <v>180</v>
      </c>
      <c r="J78" s="57">
        <v>210000</v>
      </c>
      <c r="K78" s="57"/>
    </row>
    <row r="79" spans="1:12">
      <c r="B79" s="2" t="s">
        <v>435</v>
      </c>
      <c r="E79" s="57">
        <f>E77-E78</f>
        <v>1298.076923076922</v>
      </c>
      <c r="I79" t="s">
        <v>445</v>
      </c>
      <c r="J79" s="58">
        <f>220000*6/6.5</f>
        <v>203076.92307692306</v>
      </c>
      <c r="K79" s="57"/>
      <c r="L79" t="s">
        <v>446</v>
      </c>
    </row>
    <row r="80" spans="1:12">
      <c r="E80" s="76">
        <v>0.65</v>
      </c>
      <c r="I80" t="s">
        <v>447</v>
      </c>
      <c r="J80" s="57">
        <f>J78-J79</f>
        <v>6923.0769230769365</v>
      </c>
      <c r="K80" s="57"/>
    </row>
    <row r="81" spans="1:10">
      <c r="B81" s="2" t="s">
        <v>436</v>
      </c>
      <c r="E81" s="57">
        <f>E79*E80</f>
        <v>843.74999999999932</v>
      </c>
      <c r="I81" s="2"/>
      <c r="J81" s="76">
        <v>0.65</v>
      </c>
    </row>
    <row r="82" spans="1:10">
      <c r="E82" s="76">
        <v>0.4</v>
      </c>
      <c r="I82" s="2" t="s">
        <v>436</v>
      </c>
      <c r="J82" s="57">
        <f>J80*J81</f>
        <v>4500.0000000000091</v>
      </c>
    </row>
    <row r="83" spans="1:10">
      <c r="B83" s="2" t="s">
        <v>437</v>
      </c>
      <c r="E83" s="57">
        <f>E81*E82</f>
        <v>337.49999999999977</v>
      </c>
      <c r="I83" s="2"/>
      <c r="J83" s="77"/>
    </row>
    <row r="84" spans="1:10">
      <c r="E84" s="57"/>
      <c r="I84" s="2"/>
      <c r="J84" s="59"/>
    </row>
    <row r="85" spans="1:10">
      <c r="A85" s="61" t="s">
        <v>448</v>
      </c>
      <c r="B85" s="62" t="s">
        <v>449</v>
      </c>
      <c r="E85" s="57"/>
    </row>
    <row r="86" spans="1:10" ht="15">
      <c r="B86" s="78" t="s">
        <v>450</v>
      </c>
      <c r="E86" s="57">
        <f>0.4*(230969+100000*6/12+4500)</f>
        <v>114187.6</v>
      </c>
      <c r="H86" t="s">
        <v>451</v>
      </c>
      <c r="I86" t="s">
        <v>452</v>
      </c>
    </row>
    <row r="87" spans="1:10" ht="15">
      <c r="B87" s="78" t="s">
        <v>453</v>
      </c>
      <c r="E87" s="57"/>
    </row>
    <row r="88" spans="1:10">
      <c r="B88" s="79" t="s">
        <v>265</v>
      </c>
      <c r="E88" s="57">
        <f>0.4*(220000-250000*6.5/8)*6/6.5</f>
        <v>6230.7692307692305</v>
      </c>
      <c r="H88" t="s">
        <v>454</v>
      </c>
    </row>
    <row r="89" spans="1:10">
      <c r="B89" s="79" t="s">
        <v>420</v>
      </c>
      <c r="E89" s="57">
        <f>-0.35*E88</f>
        <v>-2180.7692307692305</v>
      </c>
    </row>
    <row r="90" spans="1:10">
      <c r="B90" s="79" t="s">
        <v>422</v>
      </c>
      <c r="E90" s="57">
        <f>0.4*(320000-300000*13.25/15)*12.75/13.25</f>
        <v>21169.811320754718</v>
      </c>
      <c r="H90" s="71" t="s">
        <v>455</v>
      </c>
    </row>
    <row r="91" spans="1:10">
      <c r="B91" s="79" t="s">
        <v>420</v>
      </c>
      <c r="E91" s="57">
        <f>-0.35*E90</f>
        <v>-7409.433962264151</v>
      </c>
    </row>
    <row r="92" spans="1:10">
      <c r="B92" s="79" t="s">
        <v>402</v>
      </c>
      <c r="E92" s="57">
        <f>0.4*(160000-150000)</f>
        <v>4000</v>
      </c>
      <c r="H92" t="s">
        <v>456</v>
      </c>
    </row>
    <row r="93" spans="1:10">
      <c r="B93" s="79" t="s">
        <v>420</v>
      </c>
      <c r="E93" s="57">
        <f>-0.15*E92</f>
        <v>-600</v>
      </c>
    </row>
    <row r="94" spans="1:10">
      <c r="B94" s="79" t="s">
        <v>426</v>
      </c>
      <c r="E94" s="57">
        <f>0.4*(23000-42000)</f>
        <v>-7600</v>
      </c>
      <c r="H94" t="s">
        <v>457</v>
      </c>
    </row>
    <row r="95" spans="1:10">
      <c r="B95" s="79" t="s">
        <v>420</v>
      </c>
      <c r="E95" s="57">
        <f>-0.35*E94</f>
        <v>2660</v>
      </c>
    </row>
    <row r="96" spans="1:10">
      <c r="B96" s="80" t="s">
        <v>176</v>
      </c>
      <c r="E96" s="57">
        <f>D63</f>
        <v>9632.5</v>
      </c>
    </row>
    <row r="97" spans="1:10">
      <c r="B97" s="81" t="s">
        <v>458</v>
      </c>
      <c r="E97" s="72">
        <f>0.4*(300000*12.75/15-240000)*0.65</f>
        <v>3900</v>
      </c>
      <c r="H97" s="82" t="s">
        <v>459</v>
      </c>
    </row>
    <row r="98" spans="1:10">
      <c r="B98" s="81" t="s">
        <v>460</v>
      </c>
      <c r="E98" s="57">
        <f>0.4*(150000-160000)*0.85</f>
        <v>-3400</v>
      </c>
      <c r="H98" t="s">
        <v>461</v>
      </c>
    </row>
    <row r="99" spans="1:10" ht="15">
      <c r="B99" s="78" t="s">
        <v>439</v>
      </c>
      <c r="E99" s="58">
        <f>(250000*6/8-210000)*0.65*0.4</f>
        <v>-5850</v>
      </c>
      <c r="H99" t="s">
        <v>462</v>
      </c>
    </row>
    <row r="100" spans="1:10">
      <c r="E100" s="57">
        <f>SUM(E86:E99)</f>
        <v>134740.47735849058</v>
      </c>
    </row>
    <row r="101" spans="1:10">
      <c r="B101" s="2" t="s">
        <v>463</v>
      </c>
      <c r="E101" s="57">
        <f>E100-D10</f>
        <v>0.10000000000582077</v>
      </c>
    </row>
    <row r="102" spans="1:10">
      <c r="E102" s="57"/>
    </row>
    <row r="103" spans="1:10">
      <c r="A103" s="61" t="s">
        <v>464</v>
      </c>
      <c r="B103" s="62" t="s">
        <v>465</v>
      </c>
      <c r="E103" s="3"/>
    </row>
    <row r="104" spans="1:10">
      <c r="B104" s="2" t="s">
        <v>466</v>
      </c>
      <c r="E104" s="3"/>
    </row>
    <row r="105" spans="1:10">
      <c r="B105" s="2" t="s">
        <v>467</v>
      </c>
      <c r="E105" s="3"/>
    </row>
    <row r="106" spans="1:10">
      <c r="B106" s="2" t="s">
        <v>468</v>
      </c>
      <c r="C106" s="2"/>
      <c r="D106" s="2"/>
      <c r="E106" s="2"/>
      <c r="F106" s="2"/>
      <c r="G106" s="2"/>
      <c r="H106" s="2"/>
      <c r="I106" s="2"/>
      <c r="J106" s="2"/>
    </row>
    <row r="107" spans="1:10">
      <c r="C107" s="2"/>
      <c r="D107" s="2"/>
      <c r="E107" s="2"/>
      <c r="F107" s="2"/>
      <c r="G107" s="2"/>
      <c r="H107" s="2"/>
      <c r="I107" s="2"/>
      <c r="J107" s="2"/>
    </row>
    <row r="108" spans="1:10">
      <c r="B108" s="2" t="s">
        <v>469</v>
      </c>
      <c r="C108" s="2"/>
      <c r="D108" s="2"/>
      <c r="E108" s="2"/>
      <c r="F108" s="2"/>
      <c r="G108" s="2"/>
      <c r="H108" s="2"/>
      <c r="I108" s="2"/>
      <c r="J108" s="2"/>
    </row>
    <row r="109" spans="1:10"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61" t="s">
        <v>470</v>
      </c>
      <c r="B110" s="54" t="s">
        <v>471</v>
      </c>
      <c r="C110" s="56"/>
      <c r="D110" s="56"/>
      <c r="E110" s="83"/>
      <c r="G110">
        <f>230969+100000*6/12+4500</f>
        <v>285469</v>
      </c>
      <c r="I110" s="61"/>
      <c r="J110" s="62"/>
    </row>
    <row r="111" spans="1:10" ht="15">
      <c r="B111" s="78" t="s">
        <v>450</v>
      </c>
      <c r="E111" s="57">
        <v>114187.6</v>
      </c>
      <c r="H111" t="s">
        <v>451</v>
      </c>
      <c r="I111" t="s">
        <v>452</v>
      </c>
      <c r="J111" s="78"/>
    </row>
    <row r="112" spans="1:10" ht="15">
      <c r="B112" s="78" t="s">
        <v>453</v>
      </c>
      <c r="E112" s="57"/>
      <c r="J112" s="78"/>
    </row>
    <row r="113" spans="2:10">
      <c r="B113" s="79" t="s">
        <v>265</v>
      </c>
      <c r="E113" s="57">
        <v>6230.7692307692305</v>
      </c>
      <c r="H113" t="s">
        <v>454</v>
      </c>
      <c r="J113" s="79"/>
    </row>
    <row r="114" spans="2:10">
      <c r="B114" s="79" t="s">
        <v>420</v>
      </c>
      <c r="E114" s="57">
        <v>-2180.7692307692305</v>
      </c>
      <c r="J114" s="79"/>
    </row>
    <row r="115" spans="2:10">
      <c r="B115" s="79" t="s">
        <v>422</v>
      </c>
      <c r="E115" s="57">
        <v>21169.811320754718</v>
      </c>
      <c r="H115" s="71" t="s">
        <v>455</v>
      </c>
      <c r="J115" s="79"/>
    </row>
    <row r="116" spans="2:10">
      <c r="B116" s="79" t="s">
        <v>420</v>
      </c>
      <c r="E116" s="57">
        <v>-7409.433962264151</v>
      </c>
      <c r="J116" s="79"/>
    </row>
    <row r="117" spans="2:10">
      <c r="B117" s="79" t="s">
        <v>402</v>
      </c>
      <c r="E117" s="57">
        <v>4000</v>
      </c>
      <c r="H117" t="s">
        <v>456</v>
      </c>
      <c r="J117" s="79"/>
    </row>
    <row r="118" spans="2:10">
      <c r="B118" s="79" t="s">
        <v>420</v>
      </c>
      <c r="E118" s="57">
        <f>E117*-0.15</f>
        <v>-600</v>
      </c>
      <c r="J118" s="79"/>
    </row>
    <row r="119" spans="2:10">
      <c r="B119" s="79" t="s">
        <v>426</v>
      </c>
      <c r="E119" s="57">
        <v>-7600</v>
      </c>
      <c r="H119" t="s">
        <v>457</v>
      </c>
      <c r="J119" s="79"/>
    </row>
    <row r="120" spans="2:10">
      <c r="B120" s="79" t="s">
        <v>420</v>
      </c>
      <c r="E120" s="57">
        <v>2660</v>
      </c>
      <c r="J120" s="79"/>
    </row>
    <row r="121" spans="2:10">
      <c r="B121" s="79" t="s">
        <v>428</v>
      </c>
      <c r="E121" s="57">
        <f>E96</f>
        <v>9632.5</v>
      </c>
      <c r="J121" s="79"/>
    </row>
    <row r="122" spans="2:10">
      <c r="B122" s="80" t="s">
        <v>176</v>
      </c>
      <c r="E122" s="57">
        <v>0</v>
      </c>
      <c r="J122" s="80"/>
    </row>
    <row r="123" spans="2:10" ht="15">
      <c r="B123" s="78" t="s">
        <v>472</v>
      </c>
      <c r="E123" s="57"/>
      <c r="J123" s="78"/>
    </row>
    <row r="124" spans="2:10">
      <c r="B124" s="79" t="s">
        <v>422</v>
      </c>
      <c r="E124" s="72">
        <v>3900</v>
      </c>
      <c r="H124" s="82" t="s">
        <v>459</v>
      </c>
      <c r="J124" s="79"/>
    </row>
    <row r="125" spans="2:10">
      <c r="B125" s="79" t="s">
        <v>402</v>
      </c>
      <c r="E125" s="57">
        <v>-3400</v>
      </c>
      <c r="H125" t="s">
        <v>461</v>
      </c>
      <c r="J125" s="79"/>
    </row>
    <row r="126" spans="2:10" ht="15">
      <c r="B126" s="78" t="s">
        <v>439</v>
      </c>
      <c r="E126" s="58">
        <v>-5850</v>
      </c>
      <c r="H126" t="s">
        <v>462</v>
      </c>
      <c r="J126" s="78"/>
    </row>
    <row r="127" spans="2:10">
      <c r="E127" s="57">
        <f>SUM(E111:E126)</f>
        <v>134740.47735849058</v>
      </c>
      <c r="J127" s="2"/>
    </row>
    <row r="128" spans="2:10">
      <c r="B128" s="2" t="s">
        <v>463</v>
      </c>
      <c r="E128" s="57">
        <f>E127-D12</f>
        <v>0.10000000000582077</v>
      </c>
      <c r="J128" s="2"/>
    </row>
    <row r="129" spans="1:10">
      <c r="E129" s="57"/>
      <c r="J129" s="2"/>
    </row>
    <row r="131" spans="1:10">
      <c r="A131" s="61" t="s">
        <v>473</v>
      </c>
      <c r="B131" s="62" t="s">
        <v>474</v>
      </c>
    </row>
    <row r="133" spans="1:10">
      <c r="B133" s="2" t="s">
        <v>431</v>
      </c>
      <c r="E133" s="57">
        <f>400000-380000</f>
        <v>20000</v>
      </c>
      <c r="H133" t="s">
        <v>475</v>
      </c>
    </row>
    <row r="134" spans="1:10">
      <c r="B134" s="2" t="s">
        <v>433</v>
      </c>
      <c r="E134" s="58">
        <f>300000/15*0.25</f>
        <v>5000</v>
      </c>
      <c r="H134" t="s">
        <v>476</v>
      </c>
    </row>
    <row r="135" spans="1:10">
      <c r="B135" s="2" t="s">
        <v>435</v>
      </c>
      <c r="E135" s="57">
        <f>E133-E134</f>
        <v>15000</v>
      </c>
    </row>
    <row r="136" spans="1:10">
      <c r="E136" s="76">
        <v>0.65</v>
      </c>
    </row>
    <row r="137" spans="1:10">
      <c r="B137" s="2" t="s">
        <v>436</v>
      </c>
      <c r="E137" s="57">
        <f>E135*E136</f>
        <v>9750</v>
      </c>
    </row>
    <row r="138" spans="1:10">
      <c r="E138" s="76">
        <v>0.4</v>
      </c>
    </row>
    <row r="139" spans="1:10">
      <c r="B139" s="2" t="s">
        <v>437</v>
      </c>
      <c r="E139" s="57">
        <f>E137*E138</f>
        <v>3900</v>
      </c>
    </row>
    <row r="142" spans="1:10">
      <c r="A142" s="61" t="s">
        <v>477</v>
      </c>
      <c r="B142" s="62" t="s">
        <v>439</v>
      </c>
      <c r="E142" s="3"/>
    </row>
    <row r="143" spans="1:10">
      <c r="A143" s="61"/>
      <c r="B143" s="62" t="s">
        <v>440</v>
      </c>
      <c r="E143" s="3"/>
      <c r="I143" s="62" t="s">
        <v>478</v>
      </c>
    </row>
    <row r="144" spans="1:10">
      <c r="B144" s="2" t="s">
        <v>442</v>
      </c>
      <c r="E144" s="57">
        <f>210000*0.25/6</f>
        <v>8750</v>
      </c>
      <c r="G144" t="s">
        <v>479</v>
      </c>
    </row>
    <row r="145" spans="1:12">
      <c r="B145" s="2" t="s">
        <v>433</v>
      </c>
      <c r="E145" s="58">
        <f>250000*0.25/8</f>
        <v>7812.5</v>
      </c>
      <c r="G145" t="s">
        <v>480</v>
      </c>
      <c r="I145" t="s">
        <v>180</v>
      </c>
      <c r="J145" s="57">
        <v>240000</v>
      </c>
      <c r="K145" s="57"/>
    </row>
    <row r="146" spans="1:12">
      <c r="B146" s="2" t="s">
        <v>435</v>
      </c>
      <c r="E146" s="57">
        <f>E144-E145</f>
        <v>937.5</v>
      </c>
      <c r="I146" t="s">
        <v>445</v>
      </c>
      <c r="J146" s="58">
        <f>210000*5.75/6</f>
        <v>201250</v>
      </c>
      <c r="K146" s="57"/>
      <c r="L146" t="s">
        <v>481</v>
      </c>
    </row>
    <row r="147" spans="1:12">
      <c r="E147" s="76">
        <v>0.65</v>
      </c>
      <c r="I147" t="s">
        <v>447</v>
      </c>
      <c r="J147" s="57">
        <f>J145-J146</f>
        <v>38750</v>
      </c>
      <c r="K147" s="57"/>
    </row>
    <row r="148" spans="1:12">
      <c r="B148" s="2" t="s">
        <v>436</v>
      </c>
      <c r="E148" s="57">
        <f>E146*E147</f>
        <v>609.375</v>
      </c>
      <c r="I148" s="2"/>
      <c r="J148" s="76">
        <v>0.65</v>
      </c>
    </row>
    <row r="149" spans="1:12">
      <c r="E149" s="76">
        <v>0.4</v>
      </c>
      <c r="I149" s="2" t="s">
        <v>436</v>
      </c>
      <c r="J149" s="57">
        <f>J147*J148</f>
        <v>25187.5</v>
      </c>
    </row>
    <row r="150" spans="1:12">
      <c r="B150" s="2" t="s">
        <v>437</v>
      </c>
      <c r="E150" s="57">
        <f>E148*E149</f>
        <v>243.75</v>
      </c>
      <c r="I150" s="2"/>
      <c r="J150" s="77"/>
    </row>
    <row r="152" spans="1:12" ht="15">
      <c r="A152" s="61" t="s">
        <v>482</v>
      </c>
      <c r="B152" s="84" t="s">
        <v>483</v>
      </c>
      <c r="C152" s="74"/>
      <c r="D152" s="74"/>
      <c r="E152" s="85"/>
      <c r="F152" s="74"/>
      <c r="G152">
        <f>285469+100000*3/12+25188</f>
        <v>335657</v>
      </c>
      <c r="I152" s="61"/>
      <c r="J152" s="62"/>
    </row>
    <row r="153" spans="1:12" ht="15">
      <c r="B153" s="78" t="s">
        <v>450</v>
      </c>
      <c r="E153" s="57">
        <f>0.4*(285469+100000*3/12+25188)</f>
        <v>134262.80000000002</v>
      </c>
      <c r="H153" t="s">
        <v>484</v>
      </c>
      <c r="I153" t="s">
        <v>452</v>
      </c>
      <c r="J153" s="78"/>
    </row>
    <row r="154" spans="1:12" ht="15">
      <c r="B154" s="78" t="s">
        <v>453</v>
      </c>
      <c r="E154" s="57"/>
      <c r="J154" s="78"/>
    </row>
    <row r="155" spans="1:12">
      <c r="B155" s="79" t="s">
        <v>265</v>
      </c>
      <c r="E155" s="57">
        <f>0.4*(220000-250000*6.5/8)*5.75/6.5</f>
        <v>5971.1538461538457</v>
      </c>
      <c r="H155" t="s">
        <v>485</v>
      </c>
      <c r="J155" s="79"/>
    </row>
    <row r="156" spans="1:12">
      <c r="B156" s="79" t="s">
        <v>420</v>
      </c>
      <c r="E156" s="57">
        <f>-0.35*E155</f>
        <v>-2089.9038461538457</v>
      </c>
      <c r="J156" s="79"/>
    </row>
    <row r="157" spans="1:12">
      <c r="B157" s="79" t="s">
        <v>422</v>
      </c>
      <c r="E157" s="57">
        <f>0.4*(320000-300000*13.25/15)*12.5/13.25</f>
        <v>20754.716981132075</v>
      </c>
      <c r="H157" s="71" t="s">
        <v>486</v>
      </c>
      <c r="J157" s="79"/>
    </row>
    <row r="158" spans="1:12">
      <c r="B158" s="79" t="s">
        <v>420</v>
      </c>
      <c r="E158" s="57">
        <f>-0.35*E157</f>
        <v>-7264.1509433962256</v>
      </c>
      <c r="J158" s="79"/>
    </row>
    <row r="159" spans="1:12">
      <c r="B159" s="79" t="s">
        <v>402</v>
      </c>
      <c r="E159" s="57">
        <v>4000</v>
      </c>
      <c r="H159" t="s">
        <v>456</v>
      </c>
      <c r="J159" s="79"/>
    </row>
    <row r="160" spans="1:12">
      <c r="B160" s="79" t="s">
        <v>420</v>
      </c>
      <c r="E160" s="57">
        <f>E159*-0.15</f>
        <v>-600</v>
      </c>
      <c r="J160" s="79"/>
    </row>
    <row r="161" spans="1:10">
      <c r="B161" s="79" t="s">
        <v>426</v>
      </c>
      <c r="E161" s="57">
        <v>-7600</v>
      </c>
      <c r="H161" t="s">
        <v>457</v>
      </c>
      <c r="J161" s="79"/>
    </row>
    <row r="162" spans="1:10">
      <c r="B162" s="79" t="s">
        <v>420</v>
      </c>
      <c r="E162" s="57">
        <v>2660</v>
      </c>
      <c r="J162" s="79"/>
    </row>
    <row r="163" spans="1:10">
      <c r="B163" s="81" t="s">
        <v>458</v>
      </c>
      <c r="E163" s="72">
        <f>0.4*(300000*12.5/15-220000)*0.65</f>
        <v>7800</v>
      </c>
      <c r="H163" s="82" t="s">
        <v>487</v>
      </c>
      <c r="J163" s="79"/>
    </row>
    <row r="164" spans="1:10">
      <c r="B164" s="81" t="s">
        <v>460</v>
      </c>
      <c r="E164" s="57">
        <f>0.4*(150000-160000)*0.85</f>
        <v>-3400</v>
      </c>
      <c r="H164" t="s">
        <v>461</v>
      </c>
      <c r="J164" s="79"/>
    </row>
    <row r="165" spans="1:10" ht="15">
      <c r="B165" s="78" t="s">
        <v>439</v>
      </c>
      <c r="E165" s="58">
        <f>(250000*5.75/8-240000)*0.65*0.4</f>
        <v>-15681.25</v>
      </c>
      <c r="H165" t="s">
        <v>488</v>
      </c>
      <c r="J165" s="78"/>
    </row>
    <row r="166" spans="1:10">
      <c r="E166" s="57">
        <f>SUM(E153:E165)</f>
        <v>138813.36603773586</v>
      </c>
      <c r="J166" s="2"/>
    </row>
    <row r="167" spans="1:10">
      <c r="B167" s="2" t="s">
        <v>463</v>
      </c>
      <c r="E167" s="57">
        <f>E166-D17</f>
        <v>0.3000000000174623</v>
      </c>
      <c r="J167" s="2"/>
    </row>
    <row r="169" spans="1:10">
      <c r="A169" s="61" t="s">
        <v>489</v>
      </c>
      <c r="B169" s="62" t="s">
        <v>490</v>
      </c>
    </row>
    <row r="171" spans="1:10">
      <c r="B171" s="2" t="s">
        <v>491</v>
      </c>
    </row>
    <row r="172" spans="1:10">
      <c r="B172" s="2" t="s">
        <v>492</v>
      </c>
    </row>
    <row r="173" spans="1:10" ht="15" thickBot="1"/>
    <row r="174" spans="1:10" ht="16.5" thickBot="1">
      <c r="B174" s="2" t="s">
        <v>493</v>
      </c>
      <c r="E174" s="86">
        <f>(0.4*15000+10000*0.2)/(15000+10000)</f>
        <v>0.32</v>
      </c>
      <c r="G174">
        <f>0.4*15000+10000*0.2</f>
        <v>8000</v>
      </c>
      <c r="H174" s="13"/>
      <c r="I174" s="13" t="s">
        <v>494</v>
      </c>
    </row>
    <row r="175" spans="1:10">
      <c r="G175">
        <v>25000</v>
      </c>
      <c r="I175" t="s">
        <v>495</v>
      </c>
    </row>
    <row r="177" spans="2:10">
      <c r="B177" s="62" t="s">
        <v>496</v>
      </c>
      <c r="G177">
        <f>335657+280000</f>
        <v>615657</v>
      </c>
    </row>
    <row r="178" spans="2:10" ht="15">
      <c r="B178" s="78" t="s">
        <v>450</v>
      </c>
      <c r="E178" s="57">
        <f>0.32*(335657+280000)</f>
        <v>197010.24</v>
      </c>
      <c r="H178" t="s">
        <v>497</v>
      </c>
      <c r="J178" s="78"/>
    </row>
    <row r="179" spans="2:10" ht="15">
      <c r="B179" s="78" t="s">
        <v>453</v>
      </c>
      <c r="E179" s="57"/>
      <c r="J179" s="78"/>
    </row>
    <row r="180" spans="2:10">
      <c r="B180" s="79" t="s">
        <v>265</v>
      </c>
      <c r="E180" s="57">
        <f>5971*0.32/0.4</f>
        <v>4776.8</v>
      </c>
      <c r="H180" t="s">
        <v>498</v>
      </c>
      <c r="J180" s="79"/>
    </row>
    <row r="181" spans="2:10">
      <c r="B181" s="79" t="s">
        <v>420</v>
      </c>
      <c r="E181" s="57">
        <f>-0.35*E180</f>
        <v>-1671.8799999999999</v>
      </c>
      <c r="J181" s="79"/>
    </row>
    <row r="182" spans="2:10">
      <c r="B182" s="79" t="s">
        <v>422</v>
      </c>
      <c r="E182" s="57">
        <f>20755*0.32/0.4</f>
        <v>16604</v>
      </c>
      <c r="H182" s="71" t="s">
        <v>499</v>
      </c>
      <c r="J182" s="79"/>
    </row>
    <row r="183" spans="2:10">
      <c r="B183" s="79" t="s">
        <v>420</v>
      </c>
      <c r="E183" s="57">
        <f>-0.35*E182</f>
        <v>-5811.4</v>
      </c>
      <c r="J183" s="79"/>
    </row>
    <row r="184" spans="2:10">
      <c r="B184" s="79" t="s">
        <v>402</v>
      </c>
      <c r="E184" s="57">
        <f>4000*0.32/0.4</f>
        <v>3200</v>
      </c>
      <c r="H184" t="s">
        <v>500</v>
      </c>
      <c r="J184" s="79"/>
    </row>
    <row r="185" spans="2:10">
      <c r="B185" s="79" t="s">
        <v>420</v>
      </c>
      <c r="E185" s="57">
        <f>E184*-0.15</f>
        <v>-480</v>
      </c>
      <c r="J185" s="79"/>
    </row>
    <row r="186" spans="2:10">
      <c r="B186" s="79" t="s">
        <v>426</v>
      </c>
      <c r="E186" s="57">
        <f>-7600*0.32/0.4</f>
        <v>-6080</v>
      </c>
      <c r="H186" t="s">
        <v>501</v>
      </c>
      <c r="J186" s="79"/>
    </row>
    <row r="187" spans="2:10">
      <c r="B187" s="79" t="s">
        <v>420</v>
      </c>
      <c r="E187" s="57">
        <f>-0.35*E186</f>
        <v>2128</v>
      </c>
      <c r="J187" s="79"/>
    </row>
    <row r="188" spans="2:10">
      <c r="B188" s="81" t="s">
        <v>458</v>
      </c>
      <c r="E188" s="72">
        <f>0.32*(300000*12.5/15-220000)*0.65</f>
        <v>6240</v>
      </c>
      <c r="H188" s="82" t="s">
        <v>502</v>
      </c>
      <c r="J188" s="79"/>
    </row>
    <row r="189" spans="2:10">
      <c r="B189" s="81" t="s">
        <v>460</v>
      </c>
      <c r="E189" s="57">
        <f>0.32*(150000-160000)*0.85</f>
        <v>-2720</v>
      </c>
      <c r="H189" t="s">
        <v>503</v>
      </c>
      <c r="J189" s="79"/>
    </row>
    <row r="190" spans="2:10" ht="15">
      <c r="B190" s="78" t="s">
        <v>504</v>
      </c>
      <c r="E190" s="58">
        <f>(250000*5.75/8-240000)*0.65*0.32</f>
        <v>-12545</v>
      </c>
      <c r="H190" t="s">
        <v>505</v>
      </c>
      <c r="J190" s="78"/>
    </row>
    <row r="191" spans="2:10">
      <c r="E191" s="57">
        <f>SUM(E178:E190)</f>
        <v>200650.75999999998</v>
      </c>
      <c r="J191" s="2"/>
    </row>
    <row r="192" spans="2:10">
      <c r="B192" s="2" t="s">
        <v>463</v>
      </c>
      <c r="E192" s="57">
        <f>E191-D19</f>
        <v>0.30716981133446097</v>
      </c>
      <c r="J192" s="2"/>
    </row>
    <row r="193" spans="1:10">
      <c r="E193" s="57"/>
      <c r="J193" s="2"/>
    </row>
    <row r="194" spans="1:10" ht="15.75" thickBot="1">
      <c r="A194" s="61"/>
      <c r="B194" s="54" t="s">
        <v>506</v>
      </c>
      <c r="C194" s="87"/>
      <c r="D194" s="56"/>
    </row>
    <row r="195" spans="1:10" ht="15.75" thickBot="1">
      <c r="B195"/>
      <c r="C195" s="88" t="s">
        <v>507</v>
      </c>
      <c r="D195" s="89" t="s">
        <v>508</v>
      </c>
    </row>
    <row r="196" spans="1:10">
      <c r="B196" t="s">
        <v>509</v>
      </c>
      <c r="C196" s="57">
        <f>D18</f>
        <v>61837.386792452802</v>
      </c>
      <c r="D196" s="57"/>
    </row>
    <row r="197" spans="1:10">
      <c r="B197" t="s">
        <v>510</v>
      </c>
      <c r="C197" s="57"/>
      <c r="D197" s="57">
        <f>280000*0.2</f>
        <v>56000</v>
      </c>
      <c r="F197" t="s">
        <v>511</v>
      </c>
    </row>
    <row r="198" spans="1:10">
      <c r="B198" t="s">
        <v>512</v>
      </c>
      <c r="C198" s="57"/>
      <c r="D198" s="57">
        <f>C196-D197</f>
        <v>5837.3867924528022</v>
      </c>
    </row>
    <row r="200" spans="1:10">
      <c r="A200" s="61" t="s">
        <v>513</v>
      </c>
      <c r="B200" s="62" t="s">
        <v>514</v>
      </c>
    </row>
    <row r="202" spans="1:10">
      <c r="B202" s="2" t="s">
        <v>515</v>
      </c>
      <c r="E202" s="57">
        <f>430000-380000</f>
        <v>50000</v>
      </c>
      <c r="H202" t="s">
        <v>516</v>
      </c>
    </row>
    <row r="203" spans="1:10">
      <c r="B203" s="2" t="s">
        <v>433</v>
      </c>
      <c r="E203" s="58">
        <f>-300000/15*0.5</f>
        <v>-10000</v>
      </c>
      <c r="H203" t="s">
        <v>434</v>
      </c>
    </row>
    <row r="204" spans="1:10">
      <c r="B204" s="2" t="s">
        <v>517</v>
      </c>
      <c r="E204" s="57">
        <f>E203-E202</f>
        <v>-60000</v>
      </c>
    </row>
    <row r="205" spans="1:10">
      <c r="E205" s="76">
        <v>0.65</v>
      </c>
    </row>
    <row r="206" spans="1:10">
      <c r="B206" s="2" t="s">
        <v>436</v>
      </c>
      <c r="E206" s="57">
        <f>E204*E205</f>
        <v>-39000</v>
      </c>
    </row>
    <row r="207" spans="1:10">
      <c r="E207" s="76">
        <v>0.32</v>
      </c>
    </row>
    <row r="208" spans="1:10">
      <c r="B208" s="2" t="s">
        <v>437</v>
      </c>
      <c r="E208" s="57">
        <f>E206*E207</f>
        <v>-12480</v>
      </c>
    </row>
    <row r="210" spans="1:12">
      <c r="A210" s="61" t="s">
        <v>518</v>
      </c>
      <c r="B210" s="62" t="s">
        <v>439</v>
      </c>
      <c r="E210" s="3"/>
    </row>
    <row r="211" spans="1:12">
      <c r="A211" s="61"/>
      <c r="B211" s="62" t="s">
        <v>440</v>
      </c>
      <c r="E211" s="3"/>
      <c r="I211" s="62" t="s">
        <v>519</v>
      </c>
    </row>
    <row r="212" spans="1:12">
      <c r="B212" s="2" t="s">
        <v>442</v>
      </c>
      <c r="E212" s="57">
        <f>240000*0.5/5.75</f>
        <v>20869.565217391304</v>
      </c>
      <c r="G212" t="s">
        <v>520</v>
      </c>
    </row>
    <row r="213" spans="1:12">
      <c r="B213" s="2" t="s">
        <v>521</v>
      </c>
      <c r="E213" s="57">
        <f>-J222</f>
        <v>14062.5</v>
      </c>
      <c r="I213" t="s">
        <v>180</v>
      </c>
      <c r="J213" s="57">
        <v>150000</v>
      </c>
      <c r="K213" s="57"/>
    </row>
    <row r="214" spans="1:12">
      <c r="B214" s="2" t="s">
        <v>433</v>
      </c>
      <c r="E214" s="58">
        <f>250000*0.5/8</f>
        <v>15625</v>
      </c>
      <c r="G214" t="s">
        <v>444</v>
      </c>
      <c r="I214" t="s">
        <v>445</v>
      </c>
      <c r="J214" s="58">
        <f>240000*5.25/5.75</f>
        <v>219130.4347826087</v>
      </c>
      <c r="K214" s="57"/>
      <c r="L214" t="s">
        <v>522</v>
      </c>
    </row>
    <row r="215" spans="1:12">
      <c r="B215" s="2" t="s">
        <v>435</v>
      </c>
      <c r="E215" s="57">
        <f>E212+E213-E214</f>
        <v>19307.065217391304</v>
      </c>
      <c r="I215" t="s">
        <v>447</v>
      </c>
      <c r="J215" s="57">
        <f>J213-J214</f>
        <v>-69130.434782608703</v>
      </c>
      <c r="K215" s="57"/>
    </row>
    <row r="216" spans="1:12">
      <c r="E216" s="76">
        <v>0.65</v>
      </c>
      <c r="I216" s="2"/>
      <c r="J216" s="77"/>
    </row>
    <row r="217" spans="1:12">
      <c r="B217" s="2" t="s">
        <v>436</v>
      </c>
      <c r="E217" s="57">
        <f>E215*E216</f>
        <v>12549.592391304348</v>
      </c>
      <c r="I217" s="2" t="s">
        <v>523</v>
      </c>
      <c r="J217" s="59"/>
    </row>
    <row r="218" spans="1:12">
      <c r="E218" s="76">
        <v>0.32</v>
      </c>
      <c r="I218" s="2" t="s">
        <v>524</v>
      </c>
      <c r="J218" s="77"/>
    </row>
    <row r="219" spans="1:12">
      <c r="B219" s="2" t="s">
        <v>437</v>
      </c>
      <c r="E219" s="57">
        <f>E217*E218</f>
        <v>4015.8695652173915</v>
      </c>
    </row>
    <row r="220" spans="1:12">
      <c r="I220" t="s">
        <v>180</v>
      </c>
      <c r="J220" s="57">
        <v>150000</v>
      </c>
    </row>
    <row r="221" spans="1:12">
      <c r="I221" t="s">
        <v>525</v>
      </c>
      <c r="J221" s="58">
        <f>250000*5.25/8</f>
        <v>164062.5</v>
      </c>
    </row>
    <row r="222" spans="1:12">
      <c r="I222" t="s">
        <v>447</v>
      </c>
      <c r="J222" s="57">
        <f>J220-J221</f>
        <v>-14062.5</v>
      </c>
      <c r="K222" t="s">
        <v>526</v>
      </c>
    </row>
    <row r="223" spans="1:12">
      <c r="B223" t="s">
        <v>527</v>
      </c>
    </row>
    <row r="224" spans="1:12">
      <c r="B224" t="s">
        <v>528</v>
      </c>
      <c r="F224" s="57">
        <f>(240000-250000*5.75/8)*5.25/5.75</f>
        <v>55067.934782608696</v>
      </c>
      <c r="K224" t="s">
        <v>529</v>
      </c>
    </row>
    <row r="225" spans="1:11">
      <c r="B225" t="s">
        <v>530</v>
      </c>
    </row>
    <row r="228" spans="1:11">
      <c r="A228" s="61" t="s">
        <v>531</v>
      </c>
      <c r="B228" s="62" t="s">
        <v>532</v>
      </c>
      <c r="G228" s="3">
        <f>615657+100000*6/12-0.65*55068</f>
        <v>629862.80000000005</v>
      </c>
      <c r="K228" s="3"/>
    </row>
    <row r="229" spans="1:11" ht="15">
      <c r="B229" s="78" t="s">
        <v>450</v>
      </c>
      <c r="E229" s="57">
        <f>0.32*(615657+100000*6/12-0.65*55068)</f>
        <v>201556.09600000002</v>
      </c>
      <c r="H229" s="90" t="s">
        <v>533</v>
      </c>
    </row>
    <row r="230" spans="1:11" ht="15">
      <c r="B230" s="78" t="s">
        <v>453</v>
      </c>
      <c r="E230" s="57"/>
    </row>
    <row r="231" spans="1:11">
      <c r="B231" s="79" t="s">
        <v>265</v>
      </c>
      <c r="E231" s="57">
        <f>5971*0.32/0.4*(5.25/5.75)</f>
        <v>4361.4260869565214</v>
      </c>
      <c r="H231" t="s">
        <v>534</v>
      </c>
    </row>
    <row r="232" spans="1:11">
      <c r="B232" s="79" t="s">
        <v>420</v>
      </c>
      <c r="E232" s="57">
        <f>-0.35*E231</f>
        <v>-1526.4991304347825</v>
      </c>
    </row>
    <row r="233" spans="1:11">
      <c r="B233" s="79" t="s">
        <v>422</v>
      </c>
      <c r="E233" s="57">
        <f>20755*0.32/0.4*(12/12.5)</f>
        <v>15939.84</v>
      </c>
      <c r="H233" s="71" t="s">
        <v>535</v>
      </c>
    </row>
    <row r="234" spans="1:11">
      <c r="B234" s="79" t="s">
        <v>420</v>
      </c>
      <c r="E234" s="57">
        <f>-0.35*E233</f>
        <v>-5578.9439999999995</v>
      </c>
    </row>
    <row r="235" spans="1:11">
      <c r="B235" s="79" t="s">
        <v>402</v>
      </c>
      <c r="E235" s="57">
        <f>4000*0.32/0.4</f>
        <v>3200</v>
      </c>
      <c r="H235" t="s">
        <v>500</v>
      </c>
    </row>
    <row r="236" spans="1:11">
      <c r="B236" s="79" t="s">
        <v>420</v>
      </c>
      <c r="E236" s="57">
        <f>E235*-0.15</f>
        <v>-480</v>
      </c>
    </row>
    <row r="237" spans="1:11">
      <c r="B237" s="79" t="s">
        <v>426</v>
      </c>
      <c r="E237" s="57">
        <f>-7600*0.32/0.4</f>
        <v>-6080</v>
      </c>
      <c r="H237" t="s">
        <v>501</v>
      </c>
    </row>
    <row r="238" spans="1:11">
      <c r="B238" s="79" t="s">
        <v>420</v>
      </c>
      <c r="E238" s="57">
        <f>-0.35*E237</f>
        <v>2128</v>
      </c>
    </row>
    <row r="239" spans="1:11" ht="15">
      <c r="B239" s="78" t="s">
        <v>472</v>
      </c>
      <c r="E239" s="57"/>
    </row>
    <row r="240" spans="1:11">
      <c r="B240" s="79" t="s">
        <v>422</v>
      </c>
      <c r="E240" s="72">
        <f>0.32*(300000*12/15-270000)*0.65</f>
        <v>-6240</v>
      </c>
      <c r="H240" s="82" t="s">
        <v>536</v>
      </c>
    </row>
    <row r="241" spans="1:8">
      <c r="B241" s="79" t="s">
        <v>402</v>
      </c>
      <c r="E241" s="57">
        <f>0.32*(150000-160000)*0.85</f>
        <v>-2720</v>
      </c>
      <c r="H241" t="s">
        <v>503</v>
      </c>
    </row>
    <row r="242" spans="1:8" ht="15">
      <c r="B242" s="78" t="s">
        <v>504</v>
      </c>
      <c r="E242" s="58">
        <f>(250000*5.25/8-150000)*0.65*0.32</f>
        <v>2925</v>
      </c>
      <c r="H242" t="s">
        <v>537</v>
      </c>
    </row>
    <row r="243" spans="1:8">
      <c r="E243" s="57">
        <f>SUM(E229:E242)</f>
        <v>207484.91895652175</v>
      </c>
    </row>
    <row r="244" spans="1:8">
      <c r="B244" s="2" t="s">
        <v>463</v>
      </c>
      <c r="E244" s="57">
        <f>E243-D24</f>
        <v>0.29467432328965515</v>
      </c>
    </row>
    <row r="245" spans="1:8" s="91" customFormat="1" ht="15">
      <c r="B245" s="92"/>
      <c r="C245" s="93"/>
    </row>
    <row r="246" spans="1:8" s="91" customFormat="1" ht="15">
      <c r="C246" s="94"/>
      <c r="D246" s="94"/>
    </row>
    <row r="247" spans="1:8" s="91" customFormat="1">
      <c r="C247" s="95"/>
      <c r="D247" s="95"/>
    </row>
    <row r="248" spans="1:8" s="91" customFormat="1">
      <c r="C248" s="95"/>
      <c r="D248" s="95"/>
    </row>
    <row r="249" spans="1:8" s="91" customFormat="1">
      <c r="C249" s="95"/>
      <c r="D249" s="95"/>
    </row>
    <row r="250" spans="1:8">
      <c r="A250" s="61" t="s">
        <v>538</v>
      </c>
      <c r="B250" s="62" t="s">
        <v>490</v>
      </c>
    </row>
    <row r="251" spans="1:8">
      <c r="B251" s="2" t="s">
        <v>539</v>
      </c>
    </row>
    <row r="252" spans="1:8">
      <c r="B252" s="2" t="s">
        <v>540</v>
      </c>
    </row>
    <row r="254" spans="1:8">
      <c r="D254" s="74"/>
      <c r="E254" s="74">
        <f>8000+0.6*15000</f>
        <v>17000</v>
      </c>
      <c r="F254" s="13"/>
      <c r="G254" s="13" t="s">
        <v>541</v>
      </c>
    </row>
    <row r="255" spans="1:8">
      <c r="D255" s="96">
        <f>E254/E255</f>
        <v>0.42499999999999999</v>
      </c>
      <c r="E255" s="74">
        <f>25000+15000</f>
        <v>40000</v>
      </c>
      <c r="G255" t="s">
        <v>542</v>
      </c>
    </row>
    <row r="256" spans="1:8">
      <c r="D256" s="74"/>
      <c r="E256" s="74"/>
    </row>
    <row r="257" spans="2:14">
      <c r="B257" s="2" t="s">
        <v>543</v>
      </c>
      <c r="E257" s="97">
        <f>D255-0.32</f>
        <v>0.10499999999999998</v>
      </c>
    </row>
    <row r="259" spans="2:14">
      <c r="B259" s="2" t="s">
        <v>544</v>
      </c>
      <c r="G259" t="s">
        <v>545</v>
      </c>
      <c r="J259" s="57">
        <f>(201556-6240-2720+2925)/0.32</f>
        <v>611003.125</v>
      </c>
      <c r="N259" t="s">
        <v>546</v>
      </c>
    </row>
    <row r="260" spans="2:14">
      <c r="C260" t="s">
        <v>149</v>
      </c>
      <c r="D260" s="57">
        <v>288000</v>
      </c>
      <c r="J260" s="72"/>
    </row>
    <row r="261" spans="2:14">
      <c r="C261" t="s">
        <v>388</v>
      </c>
      <c r="D261" s="58">
        <f>J264</f>
        <v>268155.36812500004</v>
      </c>
      <c r="G261" s="98" t="s">
        <v>547</v>
      </c>
      <c r="J261" s="72"/>
    </row>
    <row r="262" spans="2:14">
      <c r="C262" t="s">
        <v>391</v>
      </c>
      <c r="D262" s="57">
        <f>D260-D261</f>
        <v>19844.631874999963</v>
      </c>
      <c r="G262" t="s">
        <v>548</v>
      </c>
      <c r="J262" s="57">
        <f>611003*0.32</f>
        <v>195520.96</v>
      </c>
      <c r="M262" t="s">
        <v>549</v>
      </c>
    </row>
    <row r="263" spans="2:14">
      <c r="D263" s="72"/>
      <c r="G263" t="s">
        <v>550</v>
      </c>
      <c r="J263" s="58">
        <f>0.425*(J259+480000)</f>
        <v>463676.328125</v>
      </c>
      <c r="M263" t="s">
        <v>551</v>
      </c>
    </row>
    <row r="264" spans="2:14">
      <c r="J264" s="57">
        <f>J263-J262</f>
        <v>268155.36812500004</v>
      </c>
    </row>
    <row r="265" spans="2:14" ht="15">
      <c r="D265" s="72"/>
      <c r="I265" s="99" t="s">
        <v>170</v>
      </c>
    </row>
    <row r="266" spans="2:14" ht="15">
      <c r="B266" t="s">
        <v>552</v>
      </c>
      <c r="D266" s="99" t="s">
        <v>553</v>
      </c>
      <c r="I266" s="68" t="s">
        <v>417</v>
      </c>
      <c r="J266" s="99" t="s">
        <v>418</v>
      </c>
    </row>
    <row r="267" spans="2:14">
      <c r="B267" s="79" t="s">
        <v>265</v>
      </c>
      <c r="D267" s="57">
        <f>0.105*(150000-250000*5.25/8)</f>
        <v>-1476.5625</v>
      </c>
      <c r="G267" t="s">
        <v>554</v>
      </c>
      <c r="I267" s="57">
        <f>-D267*0.25/5.25</f>
        <v>70.3125</v>
      </c>
      <c r="J267" s="57">
        <f>I267+D267</f>
        <v>-1406.25</v>
      </c>
    </row>
    <row r="268" spans="2:14">
      <c r="B268" s="79" t="s">
        <v>420</v>
      </c>
      <c r="D268" s="57">
        <f>-0.35*D267</f>
        <v>516.796875</v>
      </c>
      <c r="I268" s="57">
        <f>J268-D268</f>
        <v>-151.236875</v>
      </c>
      <c r="J268" s="57">
        <f>1406/5*0.3+1406*4/5*0.25</f>
        <v>365.56</v>
      </c>
      <c r="N268" s="71" t="s">
        <v>555</v>
      </c>
    </row>
    <row r="269" spans="2:14">
      <c r="B269" s="79" t="s">
        <v>422</v>
      </c>
      <c r="D269" s="57">
        <f>0.105*(270000-300000*12/15)</f>
        <v>3150</v>
      </c>
      <c r="G269" t="s">
        <v>556</v>
      </c>
      <c r="I269" s="57">
        <f>-D269*0.25/12</f>
        <v>-65.625</v>
      </c>
      <c r="J269" s="57">
        <f>I269+D269</f>
        <v>3084.375</v>
      </c>
    </row>
    <row r="270" spans="2:14">
      <c r="B270" s="79" t="s">
        <v>420</v>
      </c>
      <c r="D270" s="57">
        <f>-0.35*D269</f>
        <v>-1102.5</v>
      </c>
      <c r="I270" s="57">
        <f>J270-D270</f>
        <v>318.37659574468091</v>
      </c>
      <c r="J270" s="57">
        <f>-(3084/11.75*0.3+3084*10.75/11.75*0.25)</f>
        <v>-784.12340425531909</v>
      </c>
      <c r="N270" s="71" t="s">
        <v>557</v>
      </c>
    </row>
    <row r="271" spans="2:14">
      <c r="B271" s="79" t="s">
        <v>402</v>
      </c>
      <c r="D271" s="57">
        <f>0.105*(160000-150000)</f>
        <v>1050</v>
      </c>
      <c r="G271" t="s">
        <v>558</v>
      </c>
      <c r="I271" s="57">
        <v>0</v>
      </c>
      <c r="J271" s="57">
        <f>I271+D271</f>
        <v>1050</v>
      </c>
    </row>
    <row r="272" spans="2:14">
      <c r="B272" s="79" t="s">
        <v>420</v>
      </c>
      <c r="D272" s="57">
        <f>-0.15*D271</f>
        <v>-157.5</v>
      </c>
      <c r="I272" s="57">
        <v>0</v>
      </c>
      <c r="J272" s="57">
        <f>I272+D272</f>
        <v>-157.5</v>
      </c>
    </row>
    <row r="273" spans="1:14">
      <c r="B273" s="79" t="s">
        <v>426</v>
      </c>
      <c r="D273" s="57">
        <f>0.105*(23000-50000)</f>
        <v>-2835</v>
      </c>
      <c r="G273" t="s">
        <v>559</v>
      </c>
      <c r="I273" s="57">
        <f>-D273</f>
        <v>2835</v>
      </c>
      <c r="J273" s="57">
        <f>I273+D273</f>
        <v>0</v>
      </c>
    </row>
    <row r="274" spans="1:14">
      <c r="B274" s="79" t="s">
        <v>420</v>
      </c>
      <c r="D274" s="57">
        <f>-0.35*D273</f>
        <v>992.24999999999989</v>
      </c>
      <c r="I274" s="57">
        <f>-D274</f>
        <v>-992.24999999999989</v>
      </c>
      <c r="J274" s="57">
        <f>I274+D274</f>
        <v>0</v>
      </c>
    </row>
    <row r="275" spans="1:14">
      <c r="B275" s="79" t="s">
        <v>176</v>
      </c>
      <c r="D275" s="58">
        <f>D276-D267-D268-D269-D270-D271-D272-D273-D274</f>
        <v>19707.147499999963</v>
      </c>
      <c r="I275" s="58">
        <v>0</v>
      </c>
      <c r="J275" s="58">
        <f>I275+D275</f>
        <v>19707.147499999963</v>
      </c>
    </row>
    <row r="276" spans="1:14">
      <c r="B276" t="s">
        <v>391</v>
      </c>
      <c r="D276" s="57">
        <f>D262</f>
        <v>19844.631874999963</v>
      </c>
      <c r="I276" s="57">
        <f>SUM(I267:I275)</f>
        <v>2014.5772207446807</v>
      </c>
      <c r="J276" s="57">
        <f>SUM(J267:J275)</f>
        <v>21859.209095744642</v>
      </c>
    </row>
    <row r="277" spans="1:14">
      <c r="D277" s="72"/>
      <c r="I277" s="57"/>
    </row>
    <row r="278" spans="1:14">
      <c r="A278" s="61" t="s">
        <v>560</v>
      </c>
      <c r="B278" s="62" t="s">
        <v>561</v>
      </c>
    </row>
    <row r="279" spans="1:14">
      <c r="B279" s="2" t="s">
        <v>562</v>
      </c>
      <c r="D279" s="57">
        <f>0.425*(300000*12/15-270000)*0.65</f>
        <v>-8287.5</v>
      </c>
      <c r="I279" s="82" t="s">
        <v>563</v>
      </c>
      <c r="J279" s="74"/>
      <c r="K279" s="74"/>
      <c r="L279" s="74"/>
      <c r="M279" s="74"/>
      <c r="N279" s="82"/>
    </row>
    <row r="280" spans="1:14">
      <c r="D280" s="58">
        <f>D281-D279</f>
        <v>-12313.696808510638</v>
      </c>
      <c r="J280" s="74"/>
      <c r="K280" s="74"/>
      <c r="L280" s="74"/>
      <c r="M280" s="74"/>
    </row>
    <row r="281" spans="1:14">
      <c r="B281" s="2" t="s">
        <v>564</v>
      </c>
      <c r="D281" s="57">
        <f>0.425*(300000*11.75/15-300000)*(1/11.75*0.7+10.75/11.75*0.75)</f>
        <v>-20601.196808510638</v>
      </c>
      <c r="I281" s="82" t="s">
        <v>565</v>
      </c>
      <c r="J281" s="74"/>
      <c r="K281" s="74"/>
      <c r="L281" s="74"/>
      <c r="M281" s="74"/>
    </row>
    <row r="282" spans="1:14">
      <c r="J282" s="74"/>
      <c r="K282" s="74"/>
      <c r="L282" s="74"/>
      <c r="M282" s="74"/>
    </row>
    <row r="283" spans="1:14">
      <c r="A283" s="61" t="s">
        <v>566</v>
      </c>
      <c r="B283" s="62" t="s">
        <v>439</v>
      </c>
      <c r="E283" s="3"/>
    </row>
    <row r="284" spans="1:14">
      <c r="A284" s="61"/>
      <c r="B284" s="62"/>
      <c r="E284" s="3"/>
    </row>
    <row r="285" spans="1:14">
      <c r="A285" s="61"/>
      <c r="B285" s="62"/>
      <c r="E285" s="3"/>
      <c r="I285" s="62" t="s">
        <v>519</v>
      </c>
    </row>
    <row r="286" spans="1:14">
      <c r="B286" s="2" t="s">
        <v>567</v>
      </c>
      <c r="E286" s="57">
        <f>(250000*5.25/8-150000)*0.65*0.425</f>
        <v>3884.765625</v>
      </c>
      <c r="H286" s="90" t="s">
        <v>568</v>
      </c>
    </row>
    <row r="287" spans="1:14">
      <c r="B287" s="2" t="s">
        <v>569</v>
      </c>
      <c r="E287" s="57">
        <f>E289-E286-E288</f>
        <v>-3884.7656249999991</v>
      </c>
      <c r="F287" t="s">
        <v>570</v>
      </c>
      <c r="I287" t="s">
        <v>180</v>
      </c>
      <c r="J287" s="57">
        <v>180000</v>
      </c>
      <c r="K287" s="57"/>
    </row>
    <row r="288" spans="1:14">
      <c r="B288" s="2" t="s">
        <v>571</v>
      </c>
      <c r="E288" s="58">
        <f>-J296*0.425*(0.7/5+4/5*0.75)</f>
        <v>-7469.3750000000009</v>
      </c>
      <c r="I288" t="s">
        <v>445</v>
      </c>
      <c r="J288" s="58">
        <f>150000*5/5.25</f>
        <v>142857.14285714287</v>
      </c>
      <c r="K288" s="57"/>
      <c r="L288" t="s">
        <v>572</v>
      </c>
    </row>
    <row r="289" spans="1:14">
      <c r="B289" s="2" t="s">
        <v>573</v>
      </c>
      <c r="E289" s="57">
        <f>(250000*5/8-180000)*0.425*(0.7/5+4/5*0.75)</f>
        <v>-7469.3750000000009</v>
      </c>
      <c r="H289" s="90" t="s">
        <v>574</v>
      </c>
      <c r="I289" t="s">
        <v>575</v>
      </c>
      <c r="J289" s="57">
        <f>J287-J288</f>
        <v>37142.85714285713</v>
      </c>
      <c r="K289" s="57"/>
    </row>
    <row r="290" spans="1:14">
      <c r="B290" s="100"/>
      <c r="C290" s="22"/>
      <c r="D290" s="22"/>
      <c r="E290" s="77"/>
      <c r="F290" s="22"/>
      <c r="G290" s="22"/>
      <c r="I290" s="2"/>
      <c r="J290" s="77"/>
    </row>
    <row r="291" spans="1:14">
      <c r="B291" s="100"/>
      <c r="C291" s="22"/>
      <c r="D291" s="22"/>
      <c r="E291" s="59"/>
      <c r="F291" s="22"/>
      <c r="G291" s="22"/>
      <c r="I291" t="s">
        <v>576</v>
      </c>
      <c r="J291" s="59"/>
    </row>
    <row r="292" spans="1:14">
      <c r="B292" s="100"/>
      <c r="C292" s="22"/>
      <c r="D292" s="22"/>
      <c r="E292" s="77"/>
      <c r="F292" s="22"/>
      <c r="G292" s="22"/>
      <c r="I292" s="2" t="s">
        <v>577</v>
      </c>
      <c r="J292" s="77"/>
    </row>
    <row r="293" spans="1:14">
      <c r="B293" s="100"/>
      <c r="C293" s="22"/>
      <c r="D293" s="22"/>
      <c r="E293" s="59"/>
      <c r="F293" s="22"/>
      <c r="G293" s="22"/>
      <c r="I293" s="2" t="s">
        <v>524</v>
      </c>
    </row>
    <row r="294" spans="1:14">
      <c r="I294" t="s">
        <v>180</v>
      </c>
      <c r="J294" s="57">
        <f>J287</f>
        <v>180000</v>
      </c>
    </row>
    <row r="295" spans="1:14">
      <c r="I295" t="s">
        <v>525</v>
      </c>
      <c r="J295" s="58">
        <f>250000*5/8</f>
        <v>156250</v>
      </c>
    </row>
    <row r="296" spans="1:14">
      <c r="I296" t="s">
        <v>578</v>
      </c>
      <c r="J296" s="57">
        <f>J294-J295</f>
        <v>23750</v>
      </c>
    </row>
    <row r="297" spans="1:14">
      <c r="I297" t="s">
        <v>393</v>
      </c>
      <c r="J297" s="57">
        <f>23750*(0.7/5+4/5*0.75)</f>
        <v>17575.000000000004</v>
      </c>
      <c r="N297" t="s">
        <v>579</v>
      </c>
    </row>
    <row r="298" spans="1:14">
      <c r="I298" t="s">
        <v>580</v>
      </c>
    </row>
    <row r="299" spans="1:14">
      <c r="B299"/>
      <c r="F299" s="57"/>
    </row>
    <row r="300" spans="1:14">
      <c r="A300" s="61" t="s">
        <v>581</v>
      </c>
      <c r="B300" s="62" t="s">
        <v>582</v>
      </c>
      <c r="G300" s="3"/>
    </row>
    <row r="301" spans="1:14" ht="15">
      <c r="B301" s="78" t="s">
        <v>450</v>
      </c>
      <c r="E301" s="57">
        <f>0.425*(629863+100000*3/12+17575+480000)</f>
        <v>489786.14999999997</v>
      </c>
      <c r="I301" s="90" t="s">
        <v>583</v>
      </c>
    </row>
    <row r="302" spans="1:14" ht="15">
      <c r="B302" s="78" t="s">
        <v>453</v>
      </c>
      <c r="E302" s="57"/>
    </row>
    <row r="303" spans="1:14">
      <c r="B303" s="79" t="s">
        <v>265</v>
      </c>
      <c r="E303" s="57">
        <f t="shared" ref="E303:E310" si="5">J267+P54</f>
        <v>2747.5961538461534</v>
      </c>
    </row>
    <row r="304" spans="1:14">
      <c r="B304" s="79" t="s">
        <v>420</v>
      </c>
      <c r="E304" s="57">
        <f t="shared" si="5"/>
        <v>-714.48</v>
      </c>
    </row>
    <row r="305" spans="2:9">
      <c r="B305" s="79" t="s">
        <v>422</v>
      </c>
      <c r="E305" s="57">
        <f t="shared" si="5"/>
        <v>18691.922169811318</v>
      </c>
      <c r="H305" s="71"/>
    </row>
    <row r="306" spans="2:9">
      <c r="B306" s="79" t="s">
        <v>420</v>
      </c>
      <c r="E306" s="57">
        <f t="shared" si="5"/>
        <v>-4752.5404255319145</v>
      </c>
    </row>
    <row r="307" spans="2:9">
      <c r="B307" s="79" t="s">
        <v>402</v>
      </c>
      <c r="E307" s="57">
        <f t="shared" si="5"/>
        <v>4250</v>
      </c>
    </row>
    <row r="308" spans="2:9">
      <c r="B308" s="79" t="s">
        <v>420</v>
      </c>
      <c r="E308" s="57">
        <f t="shared" si="5"/>
        <v>-637.5</v>
      </c>
    </row>
    <row r="309" spans="2:9">
      <c r="B309" s="79" t="s">
        <v>426</v>
      </c>
      <c r="E309" s="57">
        <f t="shared" si="5"/>
        <v>0</v>
      </c>
    </row>
    <row r="310" spans="2:9">
      <c r="B310" s="79" t="s">
        <v>420</v>
      </c>
      <c r="E310" s="57">
        <f t="shared" si="5"/>
        <v>0</v>
      </c>
    </row>
    <row r="311" spans="2:9">
      <c r="B311" s="79" t="s">
        <v>176</v>
      </c>
      <c r="E311" s="57">
        <f>J275</f>
        <v>19707.147499999963</v>
      </c>
    </row>
    <row r="312" spans="2:9" ht="15">
      <c r="B312" s="78" t="s">
        <v>472</v>
      </c>
      <c r="E312" s="57"/>
    </row>
    <row r="313" spans="2:9">
      <c r="B313" s="79" t="s">
        <v>422</v>
      </c>
      <c r="E313" s="57">
        <f>D281</f>
        <v>-20601.196808510638</v>
      </c>
      <c r="H313" s="82"/>
    </row>
    <row r="314" spans="2:9">
      <c r="B314" s="79" t="s">
        <v>402</v>
      </c>
      <c r="E314" s="57">
        <f>0.425*(150000-160000)*0.85</f>
        <v>-3612.5</v>
      </c>
      <c r="I314" t="s">
        <v>584</v>
      </c>
    </row>
    <row r="315" spans="2:9" ht="15">
      <c r="B315" s="78" t="s">
        <v>504</v>
      </c>
      <c r="E315" s="58">
        <f>(250000*5/8-180000)*0.425*(0.7/5+4/5*0.75)</f>
        <v>-7469.3750000000009</v>
      </c>
      <c r="I315" t="s">
        <v>574</v>
      </c>
    </row>
    <row r="316" spans="2:9">
      <c r="E316" s="57">
        <f>SUM(E301:E315)</f>
        <v>497395.22358961479</v>
      </c>
    </row>
    <row r="317" spans="2:9">
      <c r="B317" s="2" t="s">
        <v>463</v>
      </c>
      <c r="E317" s="85">
        <f>E316-D30</f>
        <v>0.30293478252133355</v>
      </c>
    </row>
  </sheetData>
  <sheetProtection password="D3EB" sheet="1" objects="1" scenarios="1"/>
  <mergeCells count="1">
    <mergeCell ref="A1:K1"/>
  </mergeCells>
  <pageMargins left="0.23622047244094491" right="0.23622047244094491" top="0.31496062992125984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</vt:i4>
      </vt:variant>
    </vt:vector>
  </HeadingPairs>
  <TitlesOfParts>
    <vt:vector size="7" baseType="lpstr">
      <vt:lpstr>פתרון 1</vt:lpstr>
      <vt:lpstr>פתרון 2</vt:lpstr>
      <vt:lpstr>השקעה בחברת יעל</vt:lpstr>
      <vt:lpstr>השקעה בחברת טל</vt:lpstr>
      <vt:lpstr>השקעה בחברת גולן</vt:lpstr>
      <vt:lpstr>פתרון 4</vt:lpstr>
      <vt:lpstr>'פתרון 2'!מס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bengal</dc:creator>
  <cp:lastModifiedBy>MAAYAN</cp:lastModifiedBy>
  <dcterms:created xsi:type="dcterms:W3CDTF">2012-01-16T14:35:38Z</dcterms:created>
  <dcterms:modified xsi:type="dcterms:W3CDTF">2013-12-31T10:47:03Z</dcterms:modified>
</cp:coreProperties>
</file>