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5"/>
  </bookViews>
  <sheets>
    <sheet name="נדרש 1+2" sheetId="1" r:id="rId1"/>
    <sheet name="נדרש 3" sheetId="2" r:id="rId2"/>
    <sheet name="נדרש 4" sheetId="3" r:id="rId3"/>
    <sheet name="פתרון 2" sheetId="4" r:id="rId4"/>
    <sheet name="פתרון 3" sheetId="5" r:id="rId5"/>
    <sheet name="פתרון 4" sheetId="6" r:id="rId6"/>
    <sheet name="פתרון 4- נתונים" sheetId="7" r:id="rId7"/>
  </sheets>
  <externalReferences>
    <externalReference r:id="rId10"/>
  </externalReferences>
  <definedNames>
    <definedName name="_xlnm.Print_Area" localSheetId="4">'פתרון 3'!#REF!</definedName>
  </definedNames>
  <calcPr fullCalcOnLoad="1"/>
</workbook>
</file>

<file path=xl/sharedStrings.xml><?xml version="1.0" encoding="utf-8"?>
<sst xmlns="http://schemas.openxmlformats.org/spreadsheetml/2006/main" count="868" uniqueCount="529">
  <si>
    <t>רווח לפני מס בספרים</t>
  </si>
  <si>
    <t>הוסף</t>
  </si>
  <si>
    <t>הפחת</t>
  </si>
  <si>
    <t>הכנסה חייבת לצורך מס</t>
  </si>
  <si>
    <t>הוצאות מס שוטפות</t>
  </si>
  <si>
    <t>הוצאות מס נדחות</t>
  </si>
  <si>
    <t>סה"כ</t>
  </si>
  <si>
    <t>31.12.2010</t>
  </si>
  <si>
    <t>שינוי</t>
  </si>
  <si>
    <t>שינוי אחר</t>
  </si>
  <si>
    <t>(1)</t>
  </si>
  <si>
    <t>(2)</t>
  </si>
  <si>
    <t>שכ"ד מראש</t>
  </si>
  <si>
    <t>(4)</t>
  </si>
  <si>
    <t>ביאורים:</t>
  </si>
  <si>
    <t>90,000/3=</t>
  </si>
  <si>
    <t>(3)</t>
  </si>
  <si>
    <t>(5)</t>
  </si>
  <si>
    <t>ח. מס נדחה</t>
  </si>
  <si>
    <t xml:space="preserve">   ז. הוצאות מס נדחות</t>
  </si>
  <si>
    <t>פתרון תרגיל  - מיסים על ההכנסה מאוחד</t>
  </si>
  <si>
    <t>דוח התאמה למס לשנת 2010 - חברת זוהר</t>
  </si>
  <si>
    <t xml:space="preserve">הכנסות משכירות - ספרים </t>
  </si>
  <si>
    <t xml:space="preserve">הכנסות שכירות - מס הכנסה </t>
  </si>
  <si>
    <t>ביאור מיסים נדחים - חברת זוהר</t>
  </si>
  <si>
    <t>31.12.2009</t>
  </si>
  <si>
    <t>הוצאות פחת מכונות - ספרים</t>
  </si>
  <si>
    <t>120,000/4=</t>
  </si>
  <si>
    <t>הוצאות פחת מכונות - מס הכנסה</t>
  </si>
  <si>
    <t>150,000/4=</t>
  </si>
  <si>
    <t>הוצאות כיבודים וקנסות</t>
  </si>
  <si>
    <t>תרומות</t>
  </si>
  <si>
    <t>יצירת מס נדחה בזכות לפי מס רווח הון</t>
  </si>
  <si>
    <t>960,000-800,000=</t>
  </si>
  <si>
    <t>שינוי רגיל</t>
  </si>
  <si>
    <t>השפעת שינוי בשיעור המס</t>
  </si>
  <si>
    <t xml:space="preserve">חובות אבודים </t>
  </si>
  <si>
    <t>רכוש קבוע (4)</t>
  </si>
  <si>
    <t>אחוז ההפרשה</t>
  </si>
  <si>
    <t>5,000/50,000=</t>
  </si>
  <si>
    <t>הוצאות חובות מסופקים</t>
  </si>
  <si>
    <t>חובות אבודים</t>
  </si>
  <si>
    <t>90,000*10%</t>
  </si>
  <si>
    <t>5,000*0.3=</t>
  </si>
  <si>
    <t>שווי הוגן</t>
  </si>
  <si>
    <t>שווי ספרים</t>
  </si>
  <si>
    <t>עליית ערך</t>
  </si>
  <si>
    <t>ח. רכוש קבוע נטו</t>
  </si>
  <si>
    <t xml:space="preserve">   ז. קרן שערוך</t>
  </si>
  <si>
    <t xml:space="preserve">   ז. מס נדחה</t>
  </si>
  <si>
    <t>הוצאות מס שנים קודמות</t>
  </si>
  <si>
    <t>רווח מעליית ערך נדל"ן להשקעה</t>
  </si>
  <si>
    <t>הוצאות פחת נדל"ן - מס הכנסה</t>
  </si>
  <si>
    <t>70,000-50,000=</t>
  </si>
  <si>
    <t>50,000/5*0.75=</t>
  </si>
  <si>
    <t>נכס ספרים</t>
  </si>
  <si>
    <t>נכס מ"ה</t>
  </si>
  <si>
    <t>50,000*4.25/5=</t>
  </si>
  <si>
    <t>5,000*10=</t>
  </si>
  <si>
    <t xml:space="preserve">   ז. קרן הון</t>
  </si>
  <si>
    <t>ח. מזומן</t>
  </si>
  <si>
    <t>ראה ביאור 5</t>
  </si>
  <si>
    <t>הוצאות מס תיאורטיות (30%)</t>
  </si>
  <si>
    <t>הוצאות מס בספרים</t>
  </si>
  <si>
    <t>11,000*0.3=</t>
  </si>
  <si>
    <t>7,500*0.3=</t>
  </si>
  <si>
    <t>10,000*0.05=</t>
  </si>
  <si>
    <t>השפעת מס שונה - נדל"ן להשקעה</t>
  </si>
  <si>
    <t>השפעת מס שונה - ני"ע זמינים למכירה</t>
  </si>
  <si>
    <t>בדיקה</t>
  </si>
  <si>
    <t>נדרש 1+2 - דוח התאמה וביאור מיסים נדחים של חברת זוהר</t>
  </si>
  <si>
    <t>מכונות</t>
  </si>
  <si>
    <t>חריג ליצירת מיסים נדחים</t>
  </si>
  <si>
    <t>שכ"ד מראש (1)</t>
  </si>
  <si>
    <t xml:space="preserve">נדרש 4 - ביאור מס תיאורטי </t>
  </si>
  <si>
    <t>30,000*0.27+30,000*0.26=</t>
  </si>
  <si>
    <t>הוצאות חובות מסופקים (2)</t>
  </si>
  <si>
    <t>הפרשה לחובות מסופקים (2)</t>
  </si>
  <si>
    <t xml:space="preserve">הפרשה לחובות מסופקים </t>
  </si>
  <si>
    <t>9,000*0.27=</t>
  </si>
  <si>
    <t>נדל"ן להשקעה (3)</t>
  </si>
  <si>
    <t>הוצאות מראש-ביטוח דירק'</t>
  </si>
  <si>
    <t>27,500*0.2=</t>
  </si>
  <si>
    <t>הוצאות ביטוח דירקטורים בספרים</t>
  </si>
  <si>
    <t>הוצאות ביטוח דירקטורים למס הכנסה</t>
  </si>
  <si>
    <t>השקעה בחברת גיא (5)</t>
  </si>
  <si>
    <t>הוצאות פחת ריהוט ספרים</t>
  </si>
  <si>
    <t>הוצאות פחת ריהוט מס הכנסה</t>
  </si>
  <si>
    <t>רווח ממכירת השקעה בגיא (גישת מעברים)</t>
  </si>
  <si>
    <t>רווחי אקוויטי השקעה בגיא</t>
  </si>
  <si>
    <t>120,000*0.25*3/12=</t>
  </si>
  <si>
    <t>220,000/7=</t>
  </si>
  <si>
    <t>250,000*7/36=</t>
  </si>
  <si>
    <t>ריהוט משרדי</t>
  </si>
  <si>
    <t>שערוך 31.12.2009</t>
  </si>
  <si>
    <t>250,000*7/8=</t>
  </si>
  <si>
    <t>1,250*0.3=</t>
  </si>
  <si>
    <t>הפרש זמני 31.12.2009</t>
  </si>
  <si>
    <t>ספרים</t>
  </si>
  <si>
    <t>מס הכנסה</t>
  </si>
  <si>
    <t>250,000*28/36=</t>
  </si>
  <si>
    <t>הפרש</t>
  </si>
  <si>
    <t>הפרש הנובע משערוך</t>
  </si>
  <si>
    <t>הפרש הנובע מהפרשי פחת</t>
  </si>
  <si>
    <t>25,556*30%=</t>
  </si>
  <si>
    <t>בשנת 2010 יש שינוי בשיעור המס ולכן יש להתאים את השינוי האחר של 2009 כך שישקף את שיעורי המס החדשים</t>
  </si>
  <si>
    <t>מס נדחה שנרשם כנגד קרן שערוך 12/09</t>
  </si>
  <si>
    <t>מס נדחה שצ"ל כנגד קרן שערוך 12/09</t>
  </si>
  <si>
    <t>1,250/7*(0.3+0.27+0.26+4*0.25)=</t>
  </si>
  <si>
    <t>תיקון</t>
  </si>
  <si>
    <t>שערוך 31.12.2010</t>
  </si>
  <si>
    <t>220,000*6/7=</t>
  </si>
  <si>
    <t>21,429/6*(0.27+0.26+4*0.25)=</t>
  </si>
  <si>
    <t>הפרש זמני 31.12.2010</t>
  </si>
  <si>
    <t>250,000*21/36=</t>
  </si>
  <si>
    <t>בדיקת היפוך הפרשי פחת</t>
  </si>
  <si>
    <t>הפרשי פחת 31.12.2011</t>
  </si>
  <si>
    <t>ספרים (לפי עלות)</t>
  </si>
  <si>
    <t>250,000*15/36=</t>
  </si>
  <si>
    <t>הפרשי פחת 31.12.2012</t>
  </si>
  <si>
    <t>250,000*10/36=</t>
  </si>
  <si>
    <t>ההיפוך של הפרשי הפחת הם מ-2013 ואילך</t>
  </si>
  <si>
    <t>250000*7/8=</t>
  </si>
  <si>
    <t>21,429+1,250*6/7=</t>
  </si>
  <si>
    <t>250,000*(6/8-21/36)=</t>
  </si>
  <si>
    <t>יתרת מס נדחה 31.12.2010</t>
  </si>
  <si>
    <t>בגין שערוך</t>
  </si>
  <si>
    <t>בגין פחת</t>
  </si>
  <si>
    <t>22,500/6*(0.27+0.26+4*0.25)=</t>
  </si>
  <si>
    <t>41,667*0.25=</t>
  </si>
  <si>
    <t>5,464-48=</t>
  </si>
  <si>
    <t>השקעה בחברת גיא</t>
  </si>
  <si>
    <t>יצירת מס נדחה בגין כוונת מכירה</t>
  </si>
  <si>
    <t>400,000*0.25=</t>
  </si>
  <si>
    <t>מס נדחה לפי 20%</t>
  </si>
  <si>
    <t>31.3.2010</t>
  </si>
  <si>
    <t>עדכון בגין רווחי אקוויטי עד המכירה</t>
  </si>
  <si>
    <t>רווח לפני מס</t>
  </si>
  <si>
    <t>נדל"ן להשקעה</t>
  </si>
  <si>
    <t>150,000+7,500=</t>
  </si>
  <si>
    <t>ח. הוצאות מס</t>
  </si>
  <si>
    <t xml:space="preserve">  ז. מס נדחה</t>
  </si>
  <si>
    <t>31.3.2010 - יישום גישת המעברים</t>
  </si>
  <si>
    <t>20,000*8=</t>
  </si>
  <si>
    <t>ח. השקעה בני"ע זמינים למכירה</t>
  </si>
  <si>
    <t>5,000*8=</t>
  </si>
  <si>
    <t xml:space="preserve">  ז. רווח ממכירת השקעה</t>
  </si>
  <si>
    <t xml:space="preserve">  ז. השקעה - IAS28</t>
  </si>
  <si>
    <t>רווח הון לצרכי מס הכנסה 31.3.2010</t>
  </si>
  <si>
    <t>תמורה</t>
  </si>
  <si>
    <t>גריעה</t>
  </si>
  <si>
    <t>100,000*0.2/0.25=</t>
  </si>
  <si>
    <t>רווח הון</t>
  </si>
  <si>
    <t>1.4.2010</t>
  </si>
  <si>
    <t>100,000*0.05/0.25=</t>
  </si>
  <si>
    <t xml:space="preserve">נדרש 3 - מציאת הוצאות מס במאוחד </t>
  </si>
  <si>
    <t>הוסף (רק מס חברות)</t>
  </si>
  <si>
    <t>הפחת (רק מס חברות)</t>
  </si>
  <si>
    <t>הכנסות מס לפי שיעור מס רגיל</t>
  </si>
  <si>
    <t>הוצאות מס נדל"ן להשקעה</t>
  </si>
  <si>
    <t>שיעור מס רווח הון ללא שינוי</t>
  </si>
  <si>
    <t>הכנסות מס השקעה בגיא</t>
  </si>
  <si>
    <t>חישוב שינוי רגיל</t>
  </si>
  <si>
    <t xml:space="preserve">הוצאות לא מוכרות </t>
  </si>
  <si>
    <t xml:space="preserve">הפרש קבוע מכונות </t>
  </si>
  <si>
    <t xml:space="preserve">תרומות </t>
  </si>
  <si>
    <t>50000*0.1=</t>
  </si>
  <si>
    <t>27,500*0.1=</t>
  </si>
  <si>
    <t>60,000*0.5/1.5=</t>
  </si>
  <si>
    <t>30,000*0.27+15,000*0.26=</t>
  </si>
  <si>
    <t>437,817*0.3+80,000*0.2-10,000*0.25=</t>
  </si>
  <si>
    <t xml:space="preserve">פתרון </t>
  </si>
  <si>
    <t xml:space="preserve">נדרש א' </t>
  </si>
  <si>
    <t>תנועה בחשבון השקעה בחברת דני</t>
  </si>
  <si>
    <t>1.1.09 עלות</t>
  </si>
  <si>
    <t>מדיניות נדל"ן</t>
  </si>
  <si>
    <t>עסקה - בעל ש.</t>
  </si>
  <si>
    <t>הה"מ</t>
  </si>
  <si>
    <t>ע.פ. א--&gt;ב</t>
  </si>
  <si>
    <t>הפסד אקווטי</t>
  </si>
  <si>
    <t xml:space="preserve">1,305,624 * 25% = </t>
  </si>
  <si>
    <t>31.12.10</t>
  </si>
  <si>
    <t xml:space="preserve">ניתן להגיע להשקעה שלילית עד לגובה הערבות </t>
  </si>
  <si>
    <t>ניתן להגיע להשקעה שלילית עד לגובה הערבות .</t>
  </si>
  <si>
    <t>הסכומים השלילים העודפים הינם מיוצגים כהפסדים שלא הוכרו</t>
  </si>
  <si>
    <t>P.N</t>
  </si>
  <si>
    <t>חישוב ההפסדים שלא הוכרו - 31.12.10</t>
  </si>
  <si>
    <t>סך הפסד 2010 -</t>
  </si>
  <si>
    <t xml:space="preserve">443,180 * 25% = </t>
  </si>
  <si>
    <t xml:space="preserve">הפסד שהוכר - </t>
  </si>
  <si>
    <t>הפסד נותר שלא הוכר</t>
  </si>
  <si>
    <t xml:space="preserve">רווח אקווטי </t>
  </si>
  <si>
    <t xml:space="preserve">הכרה בהפסדים שלא הוכרו שנים קודמות : </t>
  </si>
  <si>
    <t xml:space="preserve">סך רווח 2011 - </t>
  </si>
  <si>
    <t xml:space="preserve">1,269,484  * 25% = </t>
  </si>
  <si>
    <t xml:space="preserve">הפסדים שלא הוכרו ש.ק. </t>
  </si>
  <si>
    <t xml:space="preserve">סך רווח 2011 לאחר ניכוי </t>
  </si>
  <si>
    <t>הסברים :</t>
  </si>
  <si>
    <t>עליות רכישה</t>
  </si>
  <si>
    <t>נכס שיפוי</t>
  </si>
  <si>
    <t>התחשבנות</t>
  </si>
  <si>
    <t>מכונה</t>
  </si>
  <si>
    <t>מזומן</t>
  </si>
  <si>
    <t xml:space="preserve">חישוב ה"מ </t>
  </si>
  <si>
    <t xml:space="preserve">תמורה </t>
  </si>
  <si>
    <t>300,000+70,000-56,000-10,000+15,000  =</t>
  </si>
  <si>
    <t xml:space="preserve">שווי נרכש </t>
  </si>
  <si>
    <t xml:space="preserve">680,000 * 25% = </t>
  </si>
  <si>
    <t>ייחוס ה"מ - טבלת עודף עלות</t>
  </si>
  <si>
    <t>1.1.09</t>
  </si>
  <si>
    <t xml:space="preserve">שינוי </t>
  </si>
  <si>
    <t>31.12.09</t>
  </si>
  <si>
    <t>31.12.11</t>
  </si>
  <si>
    <t>מתקן</t>
  </si>
  <si>
    <t>מס נדחה</t>
  </si>
  <si>
    <t xml:space="preserve">מלאי </t>
  </si>
  <si>
    <t>תלויה</t>
  </si>
  <si>
    <t>מוניטין</t>
  </si>
  <si>
    <t xml:space="preserve">מדיניוית נדל"ן השקעה </t>
  </si>
  <si>
    <t xml:space="preserve">י.פ. </t>
  </si>
  <si>
    <t xml:space="preserve">0.8 * (90,000-105,000) = </t>
  </si>
  <si>
    <t>מכיוון שמדובר בקרקע - הפרש העיתוי התהפך אך ורק במכירתה, לכן שיעור המס  הינו שיעור מס רווח הון.</t>
  </si>
  <si>
    <t xml:space="preserve">0.8 * (90,000-120,000) = </t>
  </si>
  <si>
    <t xml:space="preserve">0.8 * (90,000-115,000) = </t>
  </si>
  <si>
    <t xml:space="preserve">עסקאות עם בעל שליטה </t>
  </si>
  <si>
    <t>31.3.09</t>
  </si>
  <si>
    <t xml:space="preserve">רווח </t>
  </si>
  <si>
    <t xml:space="preserve">25% * (41,000-31,000)  = </t>
  </si>
  <si>
    <t>30.09.11</t>
  </si>
  <si>
    <t>הפסד</t>
  </si>
  <si>
    <t xml:space="preserve">25% * (31,000-39,000)  = </t>
  </si>
  <si>
    <t>עסקאות פנימיות</t>
  </si>
  <si>
    <t>תנועה בעסקה הפנימית</t>
  </si>
  <si>
    <t xml:space="preserve">75% * (90,000 *0.5/2) * 20% * 25%  = </t>
  </si>
  <si>
    <t xml:space="preserve">76% * (90,000 *1.5/2) * 20% * 25%  = </t>
  </si>
  <si>
    <t xml:space="preserve">76% * (90,000) * 20% * 25%  = </t>
  </si>
  <si>
    <t xml:space="preserve">נדרש ב' </t>
  </si>
  <si>
    <t xml:space="preserve">הרכב חשבון השקעה 31.12.09 </t>
  </si>
  <si>
    <t xml:space="preserve">חלקי בשווי </t>
  </si>
  <si>
    <t xml:space="preserve">25% * (680,000 - 1,305,624 + 10,000) = </t>
  </si>
  <si>
    <t>יתרת ה"מ</t>
  </si>
  <si>
    <t xml:space="preserve">הרכב חשבון השקעה 31.12.10 </t>
  </si>
  <si>
    <t xml:space="preserve">25% * (-615,624 - 443,180) = </t>
  </si>
  <si>
    <t xml:space="preserve">בניכוי הפסדים </t>
  </si>
  <si>
    <t xml:space="preserve">שלא הוכרו - </t>
  </si>
  <si>
    <t xml:space="preserve">הרכב חשבון השקעה 31.12.11 </t>
  </si>
  <si>
    <t xml:space="preserve">25% * (-1,058,804 - 8000 + 1,269,848)  = </t>
  </si>
  <si>
    <t>תאריך</t>
  </si>
  <si>
    <t>אחוזי החזקה</t>
  </si>
  <si>
    <t>1/7/2011-30/06/12</t>
  </si>
  <si>
    <t>1/7/2012-31/12/12</t>
  </si>
  <si>
    <t>1/1/2013-30/06/13</t>
  </si>
  <si>
    <t>1/7/2013-31/12/13</t>
  </si>
  <si>
    <t>תנועה בחשבון ההשקעה</t>
  </si>
  <si>
    <t>ביאור</t>
  </si>
  <si>
    <t>הרכב חשבון השקעה</t>
  </si>
  <si>
    <t>31/12/2012</t>
  </si>
  <si>
    <t>עלות 1/7/2012</t>
  </si>
  <si>
    <t>חלק בשווי</t>
  </si>
  <si>
    <t>רווחי אקויטי 7-12/2012</t>
  </si>
  <si>
    <t>התאמה בגין מדיניות- מלאי</t>
  </si>
  <si>
    <t>הפחתת עודף עלות</t>
  </si>
  <si>
    <t>התאמה בגין מדיניות ר"ק</t>
  </si>
  <si>
    <t>מלאי</t>
  </si>
  <si>
    <t>יתרת עודף עלות</t>
  </si>
  <si>
    <t>הסכם הפצה</t>
  </si>
  <si>
    <t>התאמה בגין מדיניות מלאי</t>
  </si>
  <si>
    <t>שערוך</t>
  </si>
  <si>
    <t>פחת</t>
  </si>
  <si>
    <t>ני"ע זמינים למכירה</t>
  </si>
  <si>
    <t>30/06/2013</t>
  </si>
  <si>
    <t>הנפקה- עלות</t>
  </si>
  <si>
    <t>רווחי אקויטי 1-6/2013</t>
  </si>
  <si>
    <t>הפסד מירידת ערך</t>
  </si>
  <si>
    <t>01/07/2013</t>
  </si>
  <si>
    <t>ירידת ערך הסכם הפצה</t>
  </si>
  <si>
    <t>ח הפסד הון</t>
  </si>
  <si>
    <t>30/06/12</t>
  </si>
  <si>
    <t>ז השקעה</t>
  </si>
  <si>
    <t>הנפקה 1/7/2013</t>
  </si>
  <si>
    <t>1/7/2013</t>
  </si>
  <si>
    <t>רווחי אקויטי 7-12/2013</t>
  </si>
  <si>
    <t>31/12/2013</t>
  </si>
  <si>
    <t>רווח מעליית ערך</t>
  </si>
  <si>
    <t>דיבידנד</t>
  </si>
  <si>
    <t>עליית ערך הסכם הפצה</t>
  </si>
  <si>
    <t>חישוב מס 2012</t>
  </si>
  <si>
    <t>חישוב מס 2013</t>
  </si>
  <si>
    <t>השפעה על דוח רווח כולל 2012</t>
  </si>
  <si>
    <t>השפעה על דוח רווח כולל 2013</t>
  </si>
  <si>
    <t>חישוב עודף עלות</t>
  </si>
  <si>
    <t>1/7/2012</t>
  </si>
  <si>
    <t>פ"י גישת המעברים:</t>
  </si>
  <si>
    <t>1.7.2011</t>
  </si>
  <si>
    <t>ח השקעה</t>
  </si>
  <si>
    <t>שווי מאזני נרכש</t>
  </si>
  <si>
    <t>ז מזומן</t>
  </si>
  <si>
    <t>30.06.12</t>
  </si>
  <si>
    <t>הון מתוקן</t>
  </si>
  <si>
    <t>ז קרן הון</t>
  </si>
  <si>
    <t>נתון</t>
  </si>
  <si>
    <t>זן מס נדחה</t>
  </si>
  <si>
    <t>התאמה בגין מדיניות- ר"ק</t>
  </si>
  <si>
    <t>התאמה בגין מדיניות-מלאי</t>
  </si>
  <si>
    <t>1.7.2012</t>
  </si>
  <si>
    <t>ח השקעה (IAS 28)</t>
  </si>
  <si>
    <t>ז השקעה (IAS 39)</t>
  </si>
  <si>
    <t>ייחוס עודף עלות</t>
  </si>
  <si>
    <t>ח קרן הון</t>
  </si>
  <si>
    <t>ח הצאות מס נדחות</t>
  </si>
  <si>
    <t>ח מס נדחה</t>
  </si>
  <si>
    <t>ז מס נדחה</t>
  </si>
  <si>
    <t>ז רווח הון</t>
  </si>
  <si>
    <t>מס בגין דיבידנד חברה זרה</t>
  </si>
  <si>
    <t>השקעה בספרים</t>
  </si>
  <si>
    <t>השקעה לצרכי מס</t>
  </si>
  <si>
    <t>הפרש עיתוי</t>
  </si>
  <si>
    <t>PN</t>
  </si>
  <si>
    <t>בגין רווח הון</t>
  </si>
  <si>
    <t>כנגד הוצאות מס נדחות</t>
  </si>
  <si>
    <t>31/12/12</t>
  </si>
  <si>
    <t>בגין קרן שערוך</t>
  </si>
  <si>
    <t>כנגד קרן שערוך</t>
  </si>
  <si>
    <t>בגין רווחי אקויטי</t>
  </si>
  <si>
    <t>התאמה בגין מדיניות רכוש קבוע</t>
  </si>
  <si>
    <t>פ"י בגין דבידנד</t>
  </si>
  <si>
    <t>ח קרן שערוך</t>
  </si>
  <si>
    <t>ח הוצאות מס נדחות</t>
  </si>
  <si>
    <t>הפרשי פחת</t>
  </si>
  <si>
    <t>פחת ספרי אוהד</t>
  </si>
  <si>
    <t>פחת נקודת מבט ירון</t>
  </si>
  <si>
    <t>נטו ממס</t>
  </si>
  <si>
    <t>הפרשי שערוך</t>
  </si>
  <si>
    <t>שערוך ספרי אוהד</t>
  </si>
  <si>
    <t>שערוך נקודת מבט ירון</t>
  </si>
  <si>
    <t>קרן הון ני"ע</t>
  </si>
  <si>
    <t>פ"י</t>
  </si>
  <si>
    <t>ספרי אוהד</t>
  </si>
  <si>
    <t>בגין חלוקת הדיבידנד</t>
  </si>
  <si>
    <t>כנגד קרן הון בחובה</t>
  </si>
  <si>
    <t>ח הוצאות מס שוטפות</t>
  </si>
  <si>
    <t>נמשך אוטומטית דרך רווחי אקויטי</t>
  </si>
  <si>
    <t>כנגד הפסד מירידת ערך</t>
  </si>
  <si>
    <t>ז מיסים לשלם</t>
  </si>
  <si>
    <t>נדרש ג: השפעה על הדוח על הרווח הכולל</t>
  </si>
  <si>
    <t>נקודת מבט ירון</t>
  </si>
  <si>
    <t>רו"ה</t>
  </si>
  <si>
    <t>רווחי אקויטי</t>
  </si>
  <si>
    <t>פ"י למיון</t>
  </si>
  <si>
    <t>רווח (הפסד)  הון</t>
  </si>
  <si>
    <t>ח רווחי אקויטי</t>
  </si>
  <si>
    <t>הוצאות מס</t>
  </si>
  <si>
    <t>רווח כולל אחר</t>
  </si>
  <si>
    <t>קרן שערוך</t>
  </si>
  <si>
    <t>עליה בשיעור החזקה (22% ל- 25%)</t>
  </si>
  <si>
    <t>1/1/2013</t>
  </si>
  <si>
    <t>חלק בשווי לפני</t>
  </si>
  <si>
    <t>חלק בשווי אחרי</t>
  </si>
  <si>
    <t>30/06/13</t>
  </si>
  <si>
    <t>תנועה בקרן שערוך-ספרי ירון</t>
  </si>
  <si>
    <t>יתרת פתיחה קרן שערוך</t>
  </si>
  <si>
    <t>הפחתת קרן שערוך</t>
  </si>
  <si>
    <t>לפי חלקי</t>
  </si>
  <si>
    <t>יתרת סגירה קרן שערוך</t>
  </si>
  <si>
    <t>עד איפוסה</t>
  </si>
  <si>
    <t>רווח מני"ע</t>
  </si>
  <si>
    <t xml:space="preserve">יתרת קרן הון </t>
  </si>
  <si>
    <t>התאפסה שנה קודמת</t>
  </si>
  <si>
    <t>בחינת ירידת ערך הסכם הפצה</t>
  </si>
  <si>
    <t>עלות מופחתת מקורית</t>
  </si>
  <si>
    <t>ערך בר השבה</t>
  </si>
  <si>
    <t>יתרת עודף עלות רשום</t>
  </si>
  <si>
    <t>יתרת עודף עלות צ"ל</t>
  </si>
  <si>
    <t>ירידת ערך</t>
  </si>
  <si>
    <t>31/12/13</t>
  </si>
  <si>
    <t>כנגד רווח מעליית ערך</t>
  </si>
  <si>
    <t>עד איפוס יתרת  העלות המופחתת של ההפסד</t>
  </si>
  <si>
    <t>בחינת עליית ערך הסכם הפצה</t>
  </si>
  <si>
    <t>חברת בן</t>
  </si>
  <si>
    <t>חברת אור</t>
  </si>
  <si>
    <t>לקוחות וחייבים</t>
  </si>
  <si>
    <t>השקעה זמינה למכירה</t>
  </si>
  <si>
    <t>מכונות נטו</t>
  </si>
  <si>
    <t>ציוד נטו</t>
  </si>
  <si>
    <t>מבנה נטו</t>
  </si>
  <si>
    <t>זכאים</t>
  </si>
  <si>
    <t>תביעה משפטית</t>
  </si>
  <si>
    <t>אג"ח לשלם</t>
  </si>
  <si>
    <t>הון מניות</t>
  </si>
  <si>
    <t>פרמיה</t>
  </si>
  <si>
    <t>עודפים 1.1</t>
  </si>
  <si>
    <t>קרן הון ני"ע זמינים 1.1</t>
  </si>
  <si>
    <t>קרן שערוך מבנה 1.1</t>
  </si>
  <si>
    <t>מכירות</t>
  </si>
  <si>
    <t>עלות מכר</t>
  </si>
  <si>
    <t>הוצאות הנהלה וכלליות</t>
  </si>
  <si>
    <t>הוצאות מימון</t>
  </si>
  <si>
    <t xml:space="preserve">קרן הון ני"ע זמינים   </t>
  </si>
  <si>
    <t>קרן שערוך מבנה</t>
  </si>
  <si>
    <t>נדרש א- תנועה בחשבונות ההשקעה</t>
  </si>
  <si>
    <t>נדרש ב- הרכב חשבונות ההשקעה</t>
  </si>
  <si>
    <t>תנועה בחשבון ההשקעה של יניב בבן</t>
  </si>
  <si>
    <t>הרכב 12/12 יניב-בן לפני הנפקה</t>
  </si>
  <si>
    <t>לבדיקה בלבד</t>
  </si>
  <si>
    <t>1.1.12</t>
  </si>
  <si>
    <t>עלות</t>
  </si>
  <si>
    <t>הפחתת ה"מ-</t>
  </si>
  <si>
    <t>אג"ח</t>
  </si>
  <si>
    <t>חלקי בשווי</t>
  </si>
  <si>
    <t>ירידת ערך מכונות</t>
  </si>
  <si>
    <t>רווחי אקוויטי</t>
  </si>
  <si>
    <t>שערוך מבנה</t>
  </si>
  <si>
    <t>31.12.12</t>
  </si>
  <si>
    <t>יתרה לפני הנפקה</t>
  </si>
  <si>
    <t>הנפקה</t>
  </si>
  <si>
    <t>הרכב 12/12 יניב-בן לאחר הנפקה</t>
  </si>
  <si>
    <t>יתרה לאחר הנפקה</t>
  </si>
  <si>
    <t>הפחתת ה"מ</t>
  </si>
  <si>
    <t>31.12.13</t>
  </si>
  <si>
    <t>יתרה</t>
  </si>
  <si>
    <t>הרכב 12/13 יניב-בן</t>
  </si>
  <si>
    <t>תנועה בחשבון ההשקעה של יניב באור</t>
  </si>
  <si>
    <t>הפחתת ה"מ:</t>
  </si>
  <si>
    <t>תביעה</t>
  </si>
  <si>
    <t>ציוד</t>
  </si>
  <si>
    <t>הרכב 12/12 יניב-אור</t>
  </si>
  <si>
    <t>30.6.12</t>
  </si>
  <si>
    <t>הפחתת מוניטין שלילי</t>
  </si>
  <si>
    <t>יתרת ה"מ:</t>
  </si>
  <si>
    <t>תביעה מייחוס 2</t>
  </si>
  <si>
    <t>מוניטין מייחוס 1</t>
  </si>
  <si>
    <t>ע.פ ציוד</t>
  </si>
  <si>
    <t>ציוד מייחוס 1</t>
  </si>
  <si>
    <t>בדיקה:</t>
  </si>
  <si>
    <t>ע.פ מלאי</t>
  </si>
  <si>
    <t>ציוד מייחוס 2</t>
  </si>
  <si>
    <t>הפחתת ציוד לפי שווי הוגן משוקלל</t>
  </si>
  <si>
    <t>ע.פ אור-בן ציוד:</t>
  </si>
  <si>
    <t>מימוש פחת (רווחי אקוויטי)</t>
  </si>
  <si>
    <t>מימוש כל יתרת עודף העלות</t>
  </si>
  <si>
    <t>יצירת ע.פ (רווחי אקוויטי)</t>
  </si>
  <si>
    <t>מימוש ע.פ דרך פחת (רווחי אקוויטי)</t>
  </si>
  <si>
    <t>מימוש דרך ירידת בן (רווח הון)</t>
  </si>
  <si>
    <t>ע.פ אור-בן מלאי:</t>
  </si>
  <si>
    <t>הרכב 12/13 יניב-אור</t>
  </si>
  <si>
    <t>קרן זמין למכירה</t>
  </si>
  <si>
    <t>מימוש ע.פ ציוד (רווחי אקוויטי)</t>
  </si>
  <si>
    <t>מימוש ע.פ מלאי:</t>
  </si>
  <si>
    <t>דרך מכירה (רווחי אקוויטי)</t>
  </si>
  <si>
    <t>תתקבל תשובה המציגה במספר אחד את שני המימושים</t>
  </si>
  <si>
    <t>דרך ירידת ערך (רווחי אקוויטי)</t>
  </si>
  <si>
    <t>הסברים:</t>
  </si>
  <si>
    <t>יניב-בן</t>
  </si>
  <si>
    <t>יניב-אור</t>
  </si>
  <si>
    <t>שיעורי אחזקה:</t>
  </si>
  <si>
    <t>30.12.12</t>
  </si>
  <si>
    <t xml:space="preserve">1.1.12 </t>
  </si>
  <si>
    <t>רכישת יניב-בן</t>
  </si>
  <si>
    <t>שווי נירכש</t>
  </si>
  <si>
    <t>הון עצמי נתון ממאזן בוחן</t>
  </si>
  <si>
    <t>הפרש מקורי</t>
  </si>
  <si>
    <t>בנטרול הנפקה 30/12/12</t>
  </si>
  <si>
    <t>הון עצמי ל- 1.1.12</t>
  </si>
  <si>
    <t>ייחוס ה"מ:</t>
  </si>
  <si>
    <t>מציאת ריבית שוק ליום ההנפקה</t>
  </si>
  <si>
    <t>pv</t>
  </si>
  <si>
    <t>n</t>
  </si>
  <si>
    <t>pmt</t>
  </si>
  <si>
    <t>fv</t>
  </si>
  <si>
    <t>i-solve-</t>
  </si>
  <si>
    <t>מציאת יתרת האג"ח</t>
  </si>
  <si>
    <t>יתרת הפרש מקורי</t>
  </si>
  <si>
    <t>n=2</t>
  </si>
  <si>
    <t>n=1</t>
  </si>
  <si>
    <t>n=0</t>
  </si>
  <si>
    <t>בדיקת ירידת ערך</t>
  </si>
  <si>
    <t>שלב א- ספרי ב</t>
  </si>
  <si>
    <t>עלות מופחתת</t>
  </si>
  <si>
    <t>סב"ה</t>
  </si>
  <si>
    <t>המכונות מופיעות במאזן על 350,000 ₪ ולא על העלות המופחתת שלהם ולכן זהו בהכרח הסב"ה ליום זה</t>
  </si>
  <si>
    <t>שלב ב- ספרי א</t>
  </si>
  <si>
    <t>שלב ג- יתרת עודף העלות</t>
  </si>
  <si>
    <t>תנועה בקרן שערוך</t>
  </si>
  <si>
    <t>מציאת שווי הוגן ליום 1.1.12</t>
  </si>
  <si>
    <t>(X-300000*8/10)*0.75=45000</t>
  </si>
  <si>
    <t>הפחתה</t>
  </si>
  <si>
    <t>X=</t>
  </si>
  <si>
    <t xml:space="preserve">שערוך   </t>
  </si>
  <si>
    <t>או</t>
  </si>
  <si>
    <t>ב- 1.1.13 בן מוכרת את המבנה ליניב, המכירה מתבצעת לפי העלות בספרים (שווי הוגן) ולכן לא צריך לעשות יותר כלום.</t>
  </si>
  <si>
    <t>יתרת הון עצמי</t>
  </si>
  <si>
    <t>רווח</t>
  </si>
  <si>
    <t>רכישת יניב-אור</t>
  </si>
  <si>
    <t>שווי נרכש</t>
  </si>
  <si>
    <t>סה"כ:</t>
  </si>
  <si>
    <t>מציאת אורך החיים המקורי של הציוד-</t>
  </si>
  <si>
    <t>אורך חיים ליום 30.9.12</t>
  </si>
  <si>
    <t>72500*(X-0.25)/X=70000</t>
  </si>
  <si>
    <t>אורך חיים ליום 1.1.10</t>
  </si>
  <si>
    <t>שווי נרכש:</t>
  </si>
  <si>
    <t>דקה לפני</t>
  </si>
  <si>
    <t>מציאת הון עצמי של אור ליום 30.6.12:</t>
  </si>
  <si>
    <t>דקה אחרי</t>
  </si>
  <si>
    <t>הון ל- 1.1.12 כולל הנפקה:</t>
  </si>
  <si>
    <t>סה"כ שווי</t>
  </si>
  <si>
    <t>נטרול הנפקה</t>
  </si>
  <si>
    <t>רווח לחצי שנה</t>
  </si>
  <si>
    <t>ייחוס ה"מ שני:</t>
  </si>
  <si>
    <t>מציאת עלות מקורית של ההשקעה:</t>
  </si>
  <si>
    <t>(300000-X)*0.75=50000</t>
  </si>
  <si>
    <t>תנועה בקרן הון</t>
  </si>
  <si>
    <t>מכירה</t>
  </si>
  <si>
    <t>1.5.13</t>
  </si>
  <si>
    <t>מכירת ני"ע</t>
  </si>
  <si>
    <t>ירידת ערך ע.פ מלאי</t>
  </si>
  <si>
    <t>יתרת עסקה פנימית:</t>
  </si>
  <si>
    <t xml:space="preserve">31.12.13 </t>
  </si>
  <si>
    <t>לפני ירידה</t>
  </si>
  <si>
    <t>ירידה</t>
  </si>
  <si>
    <t>לאחר ירידה</t>
  </si>
  <si>
    <t>ע.פ אור-בן ציוד</t>
  </si>
  <si>
    <t>מציאת עלות מופחתת משוקללת מנקודת מבט של המשקיעה יניב:</t>
  </si>
  <si>
    <t>הפסדי אוקוויטי בגין הני"ע זמינים למכירה</t>
  </si>
  <si>
    <t>רישום הפסד אקוויטי בגין הירידה</t>
  </si>
  <si>
    <t>אקוויטי בגין הני"ע</t>
  </si>
  <si>
    <t>איפוס קרן ההון שרשומה אצל המשקיה</t>
  </si>
  <si>
    <t>היתרת משיכה מהלולה נרשמת מול אקוויטי</t>
  </si>
  <si>
    <t>אקוויטי בגין שערוך מבנה</t>
  </si>
  <si>
    <t>אצל המשקיעה לא רשום קרן שערוך ולכן כל המשכירה מהכלולה ירשם מול אקוויטי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</si>
</sst>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(#,##0\)_);_ * &quot;-&quot;??_ ;_ @_ "/>
    <numFmt numFmtId="173" formatCode="_ * #,##0.0_ ;_ * \-#,##0.0_ ;_ * &quot;-&quot;?_ ;_ @_ "/>
    <numFmt numFmtId="174" formatCode="_ * #,##0_ ;_ * \-#,##0_ ;_ * &quot;-&quot;??_ ;_ @_ "/>
    <numFmt numFmtId="175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38" fillId="0" borderId="11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9" fontId="38" fillId="0" borderId="0" xfId="38" applyFont="1" applyBorder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172" fontId="3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4" fontId="0" fillId="0" borderId="0" xfId="33" applyNumberFormat="1" applyFont="1" applyAlignment="1">
      <alignment/>
    </xf>
    <xf numFmtId="174" fontId="0" fillId="0" borderId="13" xfId="33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174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38" fillId="0" borderId="22" xfId="0" applyFont="1" applyBorder="1" applyAlignment="1">
      <alignment/>
    </xf>
    <xf numFmtId="16" fontId="38" fillId="0" borderId="22" xfId="0" applyNumberFormat="1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174" fontId="0" fillId="0" borderId="22" xfId="33" applyNumberFormat="1" applyFont="1" applyBorder="1" applyAlignment="1">
      <alignment/>
    </xf>
    <xf numFmtId="174" fontId="38" fillId="0" borderId="22" xfId="33" applyNumberFormat="1" applyFont="1" applyBorder="1" applyAlignment="1">
      <alignment/>
    </xf>
    <xf numFmtId="174" fontId="38" fillId="0" borderId="22" xfId="33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174" fontId="38" fillId="0" borderId="0" xfId="33" applyNumberFormat="1" applyFont="1" applyBorder="1" applyAlignment="1">
      <alignment/>
    </xf>
    <xf numFmtId="174" fontId="38" fillId="0" borderId="0" xfId="33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4" fontId="0" fillId="0" borderId="0" xfId="33" applyNumberFormat="1" applyFont="1" applyBorder="1" applyAlignment="1">
      <alignment/>
    </xf>
    <xf numFmtId="2" fontId="2" fillId="0" borderId="0" xfId="37" applyNumberFormat="1" applyFont="1" applyFill="1" applyBorder="1">
      <alignment/>
      <protection/>
    </xf>
    <xf numFmtId="1" fontId="2" fillId="0" borderId="0" xfId="37" applyNumberFormat="1" applyFont="1" applyFill="1" applyBorder="1" applyAlignment="1">
      <alignment horizontal="center"/>
      <protection/>
    </xf>
    <xf numFmtId="1" fontId="2" fillId="0" borderId="0" xfId="37" applyNumberFormat="1" applyFont="1" applyFill="1" applyBorder="1">
      <alignment/>
      <protection/>
    </xf>
    <xf numFmtId="1" fontId="2" fillId="0" borderId="0" xfId="37" applyNumberFormat="1" applyFont="1" applyFill="1" applyBorder="1" quotePrefix="1">
      <alignment/>
      <protection/>
    </xf>
    <xf numFmtId="1" fontId="2" fillId="0" borderId="0" xfId="37" applyNumberFormat="1" applyFont="1" applyFill="1" applyBorder="1" applyAlignment="1" quotePrefix="1">
      <alignment horizontal="center"/>
      <protection/>
    </xf>
    <xf numFmtId="10" fontId="2" fillId="0" borderId="0" xfId="37" applyNumberFormat="1" applyFont="1" applyFill="1" applyBorder="1">
      <alignment/>
      <protection/>
    </xf>
    <xf numFmtId="9" fontId="2" fillId="0" borderId="0" xfId="37" applyNumberFormat="1" applyFont="1" applyFill="1" applyBorder="1">
      <alignment/>
      <protection/>
    </xf>
    <xf numFmtId="2" fontId="3" fillId="0" borderId="0" xfId="37" applyNumberFormat="1" applyFont="1" applyFill="1" applyBorder="1">
      <alignment/>
      <protection/>
    </xf>
    <xf numFmtId="1" fontId="3" fillId="0" borderId="0" xfId="37" applyNumberFormat="1" applyFont="1" applyFill="1" applyBorder="1" applyAlignment="1">
      <alignment/>
      <protection/>
    </xf>
    <xf numFmtId="1" fontId="4" fillId="0" borderId="13" xfId="37" applyNumberFormat="1" applyFont="1" applyFill="1" applyBorder="1" applyAlignment="1">
      <alignment horizontal="center"/>
      <protection/>
    </xf>
    <xf numFmtId="1" fontId="5" fillId="0" borderId="0" xfId="37" applyNumberFormat="1" applyFont="1" applyFill="1" applyBorder="1" applyAlignment="1">
      <alignment horizontal="center"/>
      <protection/>
    </xf>
    <xf numFmtId="1" fontId="3" fillId="0" borderId="0" xfId="37" applyNumberFormat="1" applyFont="1" applyFill="1" applyBorder="1">
      <alignment/>
      <protection/>
    </xf>
    <xf numFmtId="1" fontId="5" fillId="0" borderId="13" xfId="37" applyNumberFormat="1" applyFont="1" applyFill="1" applyBorder="1" applyAlignment="1" quotePrefix="1">
      <alignment horizontal="center"/>
      <protection/>
    </xf>
    <xf numFmtId="1" fontId="6" fillId="0" borderId="0" xfId="37" applyNumberFormat="1" applyFont="1" applyFill="1" applyBorder="1" applyAlignment="1">
      <alignment horizontal="center"/>
      <protection/>
    </xf>
    <xf numFmtId="1" fontId="6" fillId="0" borderId="0" xfId="37" applyNumberFormat="1" applyFont="1" applyFill="1" applyBorder="1">
      <alignment/>
      <protection/>
    </xf>
    <xf numFmtId="1" fontId="2" fillId="0" borderId="0" xfId="37" applyNumberFormat="1" applyFont="1" applyFill="1" applyBorder="1" applyAlignment="1" quotePrefix="1">
      <alignment horizontal="right"/>
      <protection/>
    </xf>
    <xf numFmtId="1" fontId="2" fillId="0" borderId="13" xfId="37" applyNumberFormat="1" applyFont="1" applyFill="1" applyBorder="1">
      <alignment/>
      <protection/>
    </xf>
    <xf numFmtId="2" fontId="2" fillId="0" borderId="13" xfId="37" applyNumberFormat="1" applyFont="1" applyFill="1" applyBorder="1">
      <alignment/>
      <protection/>
    </xf>
    <xf numFmtId="2" fontId="5" fillId="0" borderId="0" xfId="37" applyNumberFormat="1" applyFont="1" applyFill="1" applyBorder="1">
      <alignment/>
      <protection/>
    </xf>
    <xf numFmtId="1" fontId="5" fillId="0" borderId="0" xfId="37" applyNumberFormat="1" applyFont="1" applyFill="1" applyBorder="1" applyAlignment="1">
      <alignment horizontal="left"/>
      <protection/>
    </xf>
    <xf numFmtId="1" fontId="5" fillId="0" borderId="0" xfId="37" applyNumberFormat="1" applyFont="1" applyFill="1" applyBorder="1" applyAlignment="1" quotePrefix="1">
      <alignment horizontal="center"/>
      <protection/>
    </xf>
    <xf numFmtId="3" fontId="2" fillId="0" borderId="0" xfId="37" applyNumberFormat="1" applyFont="1" applyFill="1" applyBorder="1">
      <alignment/>
      <protection/>
    </xf>
    <xf numFmtId="1" fontId="2" fillId="0" borderId="0" xfId="37" applyNumberFormat="1" applyFont="1" applyFill="1" applyBorder="1" applyAlignment="1">
      <alignment horizontal="right"/>
      <protection/>
    </xf>
    <xf numFmtId="1" fontId="2" fillId="0" borderId="0" xfId="37" applyNumberFormat="1" applyFont="1" applyFill="1" applyBorder="1" applyAlignment="1">
      <alignment horizontal="left"/>
      <protection/>
    </xf>
    <xf numFmtId="1" fontId="3" fillId="0" borderId="0" xfId="37" applyNumberFormat="1" applyFont="1" applyFill="1" applyBorder="1" applyAlignment="1" quotePrefix="1">
      <alignment horizontal="right"/>
      <protection/>
    </xf>
    <xf numFmtId="1" fontId="3" fillId="0" borderId="0" xfId="37" applyNumberFormat="1" applyFont="1" applyFill="1" applyBorder="1" applyAlignment="1">
      <alignment horizontal="center"/>
      <protection/>
    </xf>
    <xf numFmtId="1" fontId="5" fillId="0" borderId="0" xfId="37" applyNumberFormat="1" applyFont="1" applyFill="1" applyBorder="1">
      <alignment/>
      <protection/>
    </xf>
    <xf numFmtId="1" fontId="3" fillId="0" borderId="0" xfId="37" applyNumberFormat="1" applyFont="1" applyFill="1" applyBorder="1" applyAlignment="1" quotePrefix="1">
      <alignment horizontal="center"/>
      <protection/>
    </xf>
    <xf numFmtId="0" fontId="38" fillId="0" borderId="0" xfId="0" applyFont="1" applyAlignment="1">
      <alignment horizontal="center"/>
    </xf>
    <xf numFmtId="174" fontId="0" fillId="20" borderId="0" xfId="33" applyNumberFormat="1" applyFont="1" applyFill="1" applyAlignment="1">
      <alignment/>
    </xf>
    <xf numFmtId="0" fontId="38" fillId="33" borderId="0" xfId="0" applyFont="1" applyFill="1" applyAlignment="1">
      <alignment/>
    </xf>
    <xf numFmtId="0" fontId="0" fillId="34" borderId="0" xfId="0" applyFill="1" applyAlignment="1">
      <alignment/>
    </xf>
    <xf numFmtId="0" fontId="38" fillId="20" borderId="0" xfId="0" applyFont="1" applyFill="1" applyAlignment="1">
      <alignment horizontal="center"/>
    </xf>
    <xf numFmtId="0" fontId="38" fillId="35" borderId="0" xfId="0" applyFont="1" applyFill="1" applyAlignment="1">
      <alignment horizontal="center"/>
    </xf>
    <xf numFmtId="43" fontId="0" fillId="0" borderId="0" xfId="33" applyNumberFormat="1" applyFont="1" applyAlignment="1">
      <alignment/>
    </xf>
    <xf numFmtId="0" fontId="44" fillId="0" borderId="0" xfId="0" applyFont="1" applyAlignment="1">
      <alignment horizontal="center"/>
    </xf>
    <xf numFmtId="9" fontId="0" fillId="0" borderId="0" xfId="38" applyFont="1" applyAlignment="1">
      <alignment horizontal="center"/>
    </xf>
    <xf numFmtId="9" fontId="0" fillId="0" borderId="0" xfId="38" applyFont="1" applyAlignment="1">
      <alignment/>
    </xf>
    <xf numFmtId="9" fontId="0" fillId="0" borderId="0" xfId="0" applyNumberFormat="1" applyAlignment="1">
      <alignment/>
    </xf>
    <xf numFmtId="174" fontId="38" fillId="0" borderId="0" xfId="33" applyNumberFormat="1" applyFont="1" applyAlignment="1">
      <alignment/>
    </xf>
    <xf numFmtId="175" fontId="0" fillId="0" borderId="0" xfId="33" applyNumberFormat="1" applyFont="1" applyAlignment="1">
      <alignment/>
    </xf>
    <xf numFmtId="0" fontId="38" fillId="35" borderId="0" xfId="0" applyFont="1" applyFill="1" applyAlignment="1">
      <alignment/>
    </xf>
    <xf numFmtId="14" fontId="0" fillId="0" borderId="0" xfId="0" applyNumberFormat="1" applyAlignment="1">
      <alignment/>
    </xf>
    <xf numFmtId="174" fontId="0" fillId="0" borderId="0" xfId="33" applyNumberFormat="1" applyFont="1" applyFill="1" applyAlignment="1">
      <alignment/>
    </xf>
    <xf numFmtId="174" fontId="0" fillId="0" borderId="0" xfId="33" applyNumberFormat="1" applyFont="1" applyBorder="1" applyAlignment="1">
      <alignment/>
    </xf>
    <xf numFmtId="0" fontId="38" fillId="0" borderId="22" xfId="0" applyFont="1" applyFill="1" applyBorder="1" applyAlignment="1">
      <alignment/>
    </xf>
    <xf numFmtId="174" fontId="0" fillId="0" borderId="22" xfId="33" applyNumberFormat="1" applyFont="1" applyFill="1" applyBorder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8048625" y="0"/>
          <a:ext cx="21050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 rot="5400000">
          <a:off x="8048625" y="0"/>
          <a:ext cx="21050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015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אקויטי</a:t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7962900" y="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ירידת ערך</a:t>
          </a:r>
        </a:p>
      </xdr:txBody>
    </xdr:sp>
    <xdr:clientData/>
  </xdr:twoCellAnchor>
  <xdr:twoCellAnchor>
    <xdr:from>
      <xdr:col>8</xdr:col>
      <xdr:colOff>361950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955357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ה.ה.מ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9210675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מדיניות ציוד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015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אקויטי</a:t>
          </a:r>
        </a:p>
      </xdr:txBody>
    </xdr:sp>
    <xdr:clientData/>
  </xdr:twoCellAnchor>
  <xdr:twoCellAnchor>
    <xdr:from>
      <xdr:col>8</xdr:col>
      <xdr:colOff>361950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955357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מדיניות ציוד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7667625" y="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ביטול ירידת ערך ש.ק</a:t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8305800" y="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אקויטי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\Downloads\&#1514;&#1513;&#1493;&#1489;&#1492;%20&#1500;&#1513;&#1488;&#1500;&#1492;%20&#1513;&#1500;&#1497;%20&#1502;&#1493;&#1506;&#1491;%20&#14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פתרון"/>
      <sheetName val="מאזני בוחן"/>
      <sheetName val="גיליון3"/>
    </sheetNames>
    <sheetDataSet>
      <sheetData sheetId="0">
        <row r="120">
          <cell r="H120">
            <v>300000</v>
          </cell>
        </row>
        <row r="121">
          <cell r="C121">
            <v>9375</v>
          </cell>
        </row>
        <row r="180">
          <cell r="D180">
            <v>233333</v>
          </cell>
        </row>
        <row r="184">
          <cell r="D184">
            <v>-15000.25</v>
          </cell>
        </row>
      </sheetData>
      <sheetData sheetId="1">
        <row r="3">
          <cell r="D3">
            <v>200000</v>
          </cell>
          <cell r="E3">
            <v>400000</v>
          </cell>
        </row>
        <row r="4">
          <cell r="D4">
            <v>100000</v>
          </cell>
          <cell r="E4">
            <v>120000</v>
          </cell>
        </row>
        <row r="5">
          <cell r="D5">
            <v>0</v>
          </cell>
          <cell r="E5">
            <v>320000</v>
          </cell>
        </row>
        <row r="6">
          <cell r="D6">
            <v>350000</v>
          </cell>
          <cell r="E6">
            <v>0</v>
          </cell>
        </row>
        <row r="7">
          <cell r="D7">
            <v>70000</v>
          </cell>
          <cell r="E7">
            <v>0</v>
          </cell>
        </row>
        <row r="8">
          <cell r="D8">
            <v>250000</v>
          </cell>
          <cell r="E8">
            <v>0</v>
          </cell>
        </row>
        <row r="9">
          <cell r="D9">
            <v>-433423</v>
          </cell>
          <cell r="E9">
            <v>-34999.75</v>
          </cell>
        </row>
        <row r="10">
          <cell r="D10">
            <v>0</v>
          </cell>
          <cell r="E10">
            <v>-70000</v>
          </cell>
        </row>
        <row r="11">
          <cell r="D11">
            <v>-100952</v>
          </cell>
          <cell r="E11">
            <v>0</v>
          </cell>
        </row>
        <row r="12">
          <cell r="E12">
            <v>-100000</v>
          </cell>
        </row>
        <row r="13">
          <cell r="E13">
            <v>-400000</v>
          </cell>
        </row>
        <row r="14">
          <cell r="E14">
            <v>-100000</v>
          </cell>
        </row>
        <row r="15">
          <cell r="E15">
            <v>-50000</v>
          </cell>
        </row>
        <row r="16">
          <cell r="D16">
            <v>-45000</v>
          </cell>
          <cell r="E16">
            <v>0</v>
          </cell>
        </row>
        <row r="17">
          <cell r="D17">
            <v>-400000</v>
          </cell>
          <cell r="E17">
            <v>-400000</v>
          </cell>
        </row>
        <row r="18">
          <cell r="D18">
            <v>200000</v>
          </cell>
          <cell r="E18">
            <v>250000</v>
          </cell>
        </row>
        <row r="19">
          <cell r="D19">
            <v>20000</v>
          </cell>
          <cell r="E19">
            <v>50000</v>
          </cell>
        </row>
        <row r="20">
          <cell r="D20">
            <v>40000</v>
          </cell>
          <cell r="E20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rightToLeft="1" zoomScalePageLayoutView="0" workbookViewId="0" topLeftCell="A1">
      <selection activeCell="C44" sqref="C44:C46"/>
    </sheetView>
  </sheetViews>
  <sheetFormatPr defaultColWidth="9.140625" defaultRowHeight="15"/>
  <cols>
    <col min="2" max="2" width="30.57421875" style="0" customWidth="1"/>
    <col min="3" max="3" width="12.140625" style="0" customWidth="1"/>
    <col min="4" max="5" width="14.421875" style="0" customWidth="1"/>
    <col min="6" max="6" width="14.8515625" style="0" customWidth="1"/>
    <col min="7" max="7" width="12.421875" style="0" customWidth="1"/>
    <col min="8" max="8" width="10.7109375" style="0" customWidth="1"/>
  </cols>
  <sheetData>
    <row r="1" ht="15">
      <c r="A1" s="1" t="s">
        <v>20</v>
      </c>
    </row>
    <row r="3" ht="15">
      <c r="A3" s="2" t="s">
        <v>70</v>
      </c>
    </row>
    <row r="5" ht="14.25">
      <c r="A5" s="3" t="s">
        <v>21</v>
      </c>
    </row>
    <row r="7" spans="1:6" ht="14.25">
      <c r="A7" t="s">
        <v>0</v>
      </c>
      <c r="C7" s="4"/>
      <c r="D7" s="4">
        <v>500000</v>
      </c>
      <c r="E7" s="4"/>
      <c r="F7" s="4"/>
    </row>
    <row r="8" spans="3:6" ht="14.25">
      <c r="C8" s="4"/>
      <c r="D8" s="4"/>
      <c r="E8" s="4"/>
      <c r="F8" s="4"/>
    </row>
    <row r="9" spans="1:6" ht="14.25">
      <c r="A9" s="3" t="s">
        <v>1</v>
      </c>
      <c r="C9" s="4"/>
      <c r="D9" s="4"/>
      <c r="E9" s="4"/>
      <c r="F9" s="4"/>
    </row>
    <row r="10" spans="3:6" ht="14.25">
      <c r="C10" s="4"/>
      <c r="D10" s="4"/>
      <c r="E10" s="4"/>
      <c r="F10" s="4"/>
    </row>
    <row r="11" spans="1:6" ht="14.25">
      <c r="A11" t="s">
        <v>23</v>
      </c>
      <c r="C11" s="4">
        <v>90000</v>
      </c>
      <c r="D11" s="4"/>
      <c r="E11" s="4"/>
      <c r="F11" s="4"/>
    </row>
    <row r="12" spans="3:6" ht="14.25">
      <c r="C12" s="4"/>
      <c r="D12" s="4" t="s">
        <v>27</v>
      </c>
      <c r="E12" s="4"/>
      <c r="F12" s="4"/>
    </row>
    <row r="13" spans="1:6" ht="14.25">
      <c r="A13" t="s">
        <v>26</v>
      </c>
      <c r="C13" s="4">
        <f>120000/4</f>
        <v>30000</v>
      </c>
      <c r="D13" s="4"/>
      <c r="E13" s="4"/>
      <c r="F13" s="4"/>
    </row>
    <row r="14" spans="3:6" ht="14.25">
      <c r="C14" s="4"/>
      <c r="D14" s="4"/>
      <c r="E14" s="4"/>
      <c r="F14" s="4"/>
    </row>
    <row r="15" spans="1:6" ht="14.25">
      <c r="A15" t="s">
        <v>76</v>
      </c>
      <c r="C15" s="4">
        <f>-C86</f>
        <v>6000</v>
      </c>
      <c r="D15" s="4"/>
      <c r="E15" s="4"/>
      <c r="F15" s="4"/>
    </row>
    <row r="16" spans="3:6" ht="14.25">
      <c r="C16" s="4"/>
      <c r="D16" s="4" t="s">
        <v>168</v>
      </c>
      <c r="E16" s="4"/>
      <c r="F16" s="4"/>
    </row>
    <row r="17" spans="1:6" ht="14.25">
      <c r="A17" t="s">
        <v>83</v>
      </c>
      <c r="C17" s="4">
        <f>60000*0.5/2</f>
        <v>15000</v>
      </c>
      <c r="D17" s="4"/>
      <c r="E17" s="4"/>
      <c r="F17" s="4"/>
    </row>
    <row r="18" spans="3:6" ht="14.25">
      <c r="C18" s="4"/>
      <c r="D18" s="4" t="s">
        <v>91</v>
      </c>
      <c r="E18" s="4"/>
      <c r="F18" s="4"/>
    </row>
    <row r="19" spans="1:6" ht="14.25">
      <c r="A19" t="s">
        <v>86</v>
      </c>
      <c r="C19" s="4">
        <f>220000/7</f>
        <v>31428.571428571428</v>
      </c>
      <c r="D19" s="4"/>
      <c r="E19" s="4"/>
      <c r="F19" s="4"/>
    </row>
    <row r="20" spans="4:6" ht="14.25">
      <c r="D20" s="4"/>
      <c r="E20" s="4"/>
      <c r="F20" s="4"/>
    </row>
    <row r="21" spans="1:6" ht="14.25">
      <c r="A21" t="s">
        <v>30</v>
      </c>
      <c r="C21" s="4">
        <v>11000</v>
      </c>
      <c r="D21" s="4"/>
      <c r="E21" s="4"/>
      <c r="F21" s="4"/>
    </row>
    <row r="22" spans="3:6" ht="14.25">
      <c r="C22" s="4"/>
      <c r="D22" s="4"/>
      <c r="E22" s="4"/>
      <c r="F22" s="4"/>
    </row>
    <row r="23" spans="1:6" ht="14.25">
      <c r="A23" t="s">
        <v>31</v>
      </c>
      <c r="C23" s="4">
        <v>10000</v>
      </c>
      <c r="D23" s="4"/>
      <c r="E23" s="4"/>
      <c r="F23" s="4"/>
    </row>
    <row r="24" spans="3:6" ht="14.25">
      <c r="C24" s="4"/>
      <c r="D24" s="4"/>
      <c r="E24" s="4"/>
      <c r="F24" s="4"/>
    </row>
    <row r="25" spans="3:6" ht="14.25">
      <c r="C25" s="4"/>
      <c r="D25" s="5">
        <f>SUM(C11:C24)</f>
        <v>193428.57142857142</v>
      </c>
      <c r="E25" s="4"/>
      <c r="F25" s="4"/>
    </row>
    <row r="26" spans="3:5" ht="14.25">
      <c r="C26" s="4"/>
      <c r="D26" s="4"/>
      <c r="E26" s="4"/>
    </row>
    <row r="27" spans="1:5" ht="14.25">
      <c r="A27" s="3" t="s">
        <v>2</v>
      </c>
      <c r="C27" s="4"/>
      <c r="D27" s="4"/>
      <c r="E27" s="4"/>
    </row>
    <row r="28" spans="4:5" ht="14.25">
      <c r="D28" s="4" t="s">
        <v>15</v>
      </c>
      <c r="E28" s="4"/>
    </row>
    <row r="29" spans="1:5" ht="14.25">
      <c r="A29" t="s">
        <v>22</v>
      </c>
      <c r="C29" s="4">
        <f>-90000/3</f>
        <v>-30000</v>
      </c>
      <c r="D29" s="4"/>
      <c r="E29" s="4"/>
    </row>
    <row r="30" spans="3:6" ht="14.25">
      <c r="C30" s="4"/>
      <c r="D30" s="4" t="s">
        <v>29</v>
      </c>
      <c r="E30" s="4"/>
      <c r="F30" s="4"/>
    </row>
    <row r="31" spans="1:6" ht="14.25">
      <c r="A31" t="s">
        <v>28</v>
      </c>
      <c r="C31" s="4">
        <f>-150000/4</f>
        <v>-37500</v>
      </c>
      <c r="D31" s="4"/>
      <c r="E31" s="4"/>
      <c r="F31" s="4"/>
    </row>
    <row r="32" spans="3:6" ht="14.25">
      <c r="C32" s="4"/>
      <c r="D32" s="4"/>
      <c r="E32" s="4"/>
      <c r="F32" s="4"/>
    </row>
    <row r="33" spans="1:6" ht="14.25">
      <c r="A33" t="s">
        <v>36</v>
      </c>
      <c r="C33" s="4">
        <v>-2000</v>
      </c>
      <c r="D33" s="4" t="s">
        <v>33</v>
      </c>
      <c r="E33" s="4"/>
      <c r="F33" s="4"/>
    </row>
    <row r="34" spans="3:6" ht="14.25">
      <c r="C34" s="4"/>
      <c r="D34" s="4"/>
      <c r="E34" s="4"/>
      <c r="F34" s="4"/>
    </row>
    <row r="35" spans="4:6" ht="14.25">
      <c r="D35" s="4" t="s">
        <v>53</v>
      </c>
      <c r="E35" s="4"/>
      <c r="F35" s="4"/>
    </row>
    <row r="36" spans="1:6" ht="14.25">
      <c r="A36" t="s">
        <v>51</v>
      </c>
      <c r="C36" s="4">
        <f>50000-70000</f>
        <v>-20000</v>
      </c>
      <c r="D36" s="4"/>
      <c r="E36" s="4"/>
      <c r="F36" s="4"/>
    </row>
    <row r="37" spans="3:6" ht="14.25">
      <c r="C37" s="4"/>
      <c r="D37" s="4" t="s">
        <v>54</v>
      </c>
      <c r="E37" s="4"/>
      <c r="F37" s="4"/>
    </row>
    <row r="38" spans="1:6" ht="14.25">
      <c r="A38" t="s">
        <v>52</v>
      </c>
      <c r="C38" s="4">
        <f>-50000/5*0.75</f>
        <v>-7500</v>
      </c>
      <c r="D38" s="4"/>
      <c r="E38" s="4"/>
      <c r="F38" s="4"/>
    </row>
    <row r="39" spans="3:6" ht="14.25">
      <c r="C39" s="4"/>
      <c r="D39" s="4"/>
      <c r="E39" s="4"/>
      <c r="F39" s="4"/>
    </row>
    <row r="40" spans="1:6" ht="14.25">
      <c r="A40" t="s">
        <v>84</v>
      </c>
      <c r="C40" s="4">
        <v>-60000</v>
      </c>
      <c r="D40" s="4"/>
      <c r="E40" s="4"/>
      <c r="F40" s="4"/>
    </row>
    <row r="41" spans="3:6" ht="14.25">
      <c r="C41" s="4"/>
      <c r="D41" s="4" t="s">
        <v>92</v>
      </c>
      <c r="E41" s="4"/>
      <c r="F41" s="4"/>
    </row>
    <row r="42" spans="1:6" ht="14.25">
      <c r="A42" t="s">
        <v>87</v>
      </c>
      <c r="C42" s="4">
        <f>-250000*7/36</f>
        <v>-48611.11111111111</v>
      </c>
      <c r="D42" s="4"/>
      <c r="E42" s="4"/>
      <c r="F42" s="4"/>
    </row>
    <row r="43" spans="3:6" ht="14.25">
      <c r="C43" s="4"/>
      <c r="D43" s="4" t="s">
        <v>90</v>
      </c>
      <c r="E43" s="4"/>
      <c r="F43" s="4"/>
    </row>
    <row r="44" spans="1:6" ht="14.25">
      <c r="A44" t="s">
        <v>89</v>
      </c>
      <c r="C44" s="4">
        <f>-120000*0.25*0.25</f>
        <v>-7500</v>
      </c>
      <c r="D44" s="4"/>
      <c r="E44" s="4"/>
      <c r="F44" s="4"/>
    </row>
    <row r="45" spans="3:6" ht="14.25">
      <c r="C45" s="4"/>
      <c r="D45" s="4"/>
      <c r="E45" s="4"/>
      <c r="F45" s="4"/>
    </row>
    <row r="46" spans="1:6" ht="14.25">
      <c r="A46" t="s">
        <v>88</v>
      </c>
      <c r="C46" s="4">
        <f>-C236</f>
        <v>-42500</v>
      </c>
      <c r="D46" s="4"/>
      <c r="E46" s="4"/>
      <c r="F46" s="4"/>
    </row>
    <row r="47" spans="3:6" ht="14.25">
      <c r="C47" s="4"/>
      <c r="D47" s="4"/>
      <c r="E47" s="4"/>
      <c r="F47" s="4"/>
    </row>
    <row r="48" spans="3:6" ht="14.25">
      <c r="C48" s="4"/>
      <c r="D48" s="5">
        <f>SUM(C29:C47)</f>
        <v>-255611.11111111112</v>
      </c>
      <c r="E48" s="4"/>
      <c r="F48" s="4"/>
    </row>
    <row r="49" spans="3:6" ht="14.25">
      <c r="C49" s="4"/>
      <c r="D49" s="4"/>
      <c r="E49" s="4"/>
      <c r="F49" s="4"/>
    </row>
    <row r="50" spans="1:6" ht="15" thickBot="1">
      <c r="A50" t="s">
        <v>3</v>
      </c>
      <c r="C50" s="4"/>
      <c r="D50" s="6">
        <f>D7+D25+D48</f>
        <v>437817.46031746024</v>
      </c>
      <c r="E50" s="4"/>
      <c r="F50" s="4"/>
    </row>
    <row r="53" ht="14.25">
      <c r="A53" s="3" t="s">
        <v>24</v>
      </c>
    </row>
    <row r="54" spans="3:7" ht="14.25">
      <c r="C54" s="3" t="s">
        <v>25</v>
      </c>
      <c r="D54" s="3" t="s">
        <v>8</v>
      </c>
      <c r="E54" s="3" t="s">
        <v>9</v>
      </c>
      <c r="F54" s="3" t="s">
        <v>7</v>
      </c>
      <c r="G54" s="3"/>
    </row>
    <row r="55" spans="3:15" ht="14.25">
      <c r="C55" s="15"/>
      <c r="D55" s="15"/>
      <c r="E55" s="15"/>
      <c r="F55" s="17"/>
      <c r="G55" s="15"/>
      <c r="H55" s="16"/>
      <c r="I55" s="16"/>
      <c r="J55" s="16"/>
      <c r="K55" s="16"/>
      <c r="L55" s="16"/>
      <c r="M55" s="16"/>
      <c r="N55" s="16"/>
      <c r="O55" s="16"/>
    </row>
    <row r="56" spans="2:15" ht="14.25">
      <c r="B56" t="s">
        <v>73</v>
      </c>
      <c r="C56" s="4">
        <v>0</v>
      </c>
      <c r="D56" s="4">
        <f>F56-C56</f>
        <v>15900</v>
      </c>
      <c r="E56" s="4">
        <v>0</v>
      </c>
      <c r="F56" s="4">
        <f>C79</f>
        <v>15900</v>
      </c>
      <c r="G56" s="4"/>
      <c r="H56" s="4"/>
      <c r="I56" s="4"/>
      <c r="J56" s="4"/>
      <c r="K56" s="16"/>
      <c r="L56" s="16"/>
      <c r="M56" s="16"/>
      <c r="N56" s="16"/>
      <c r="O56" s="16"/>
    </row>
    <row r="57" spans="3:15" ht="14.25">
      <c r="C57" s="4"/>
      <c r="D57" s="4"/>
      <c r="E57" s="4"/>
      <c r="F57" s="4"/>
      <c r="G57" s="4"/>
      <c r="H57" s="4"/>
      <c r="I57" s="4"/>
      <c r="J57" s="4"/>
      <c r="K57" s="16"/>
      <c r="L57" s="16"/>
      <c r="M57" s="16"/>
      <c r="N57" s="16"/>
      <c r="O57" s="16"/>
    </row>
    <row r="58" spans="2:15" ht="14.25">
      <c r="B58" t="s">
        <v>71</v>
      </c>
      <c r="C58" s="4">
        <v>0</v>
      </c>
      <c r="D58" s="4">
        <v>0</v>
      </c>
      <c r="E58" s="4">
        <v>0</v>
      </c>
      <c r="F58" s="4">
        <v>0</v>
      </c>
      <c r="G58" s="4" t="s">
        <v>72</v>
      </c>
      <c r="H58" s="4"/>
      <c r="I58" s="4"/>
      <c r="J58" s="4"/>
      <c r="K58" s="16"/>
      <c r="L58" s="16"/>
      <c r="M58" s="16"/>
      <c r="N58" s="16"/>
      <c r="O58" s="16"/>
    </row>
    <row r="59" spans="3:15" ht="14.25">
      <c r="C59" s="4" t="s">
        <v>43</v>
      </c>
      <c r="D59" s="4"/>
      <c r="E59" s="4"/>
      <c r="F59" s="4" t="s">
        <v>79</v>
      </c>
      <c r="H59" s="4"/>
      <c r="I59" s="4"/>
      <c r="J59" s="4"/>
      <c r="K59" s="16"/>
      <c r="L59" s="16"/>
      <c r="M59" s="16"/>
      <c r="N59" s="16"/>
      <c r="O59" s="16"/>
    </row>
    <row r="60" spans="2:15" ht="14.25">
      <c r="B60" t="s">
        <v>77</v>
      </c>
      <c r="C60" s="4">
        <f>-C84*0.3</f>
        <v>1500</v>
      </c>
      <c r="D60" s="4">
        <f>F60-C60</f>
        <v>930</v>
      </c>
      <c r="E60" s="4">
        <v>0</v>
      </c>
      <c r="F60" s="4">
        <f>-C90*0.27</f>
        <v>2430</v>
      </c>
      <c r="H60" s="4"/>
      <c r="I60" s="4"/>
      <c r="J60" s="4"/>
      <c r="K60" s="16"/>
      <c r="L60" s="16"/>
      <c r="M60" s="16"/>
      <c r="N60" s="16"/>
      <c r="O60" s="16"/>
    </row>
    <row r="61" spans="8:15" ht="14.25">
      <c r="H61" s="4"/>
      <c r="I61" s="4"/>
      <c r="J61" s="4"/>
      <c r="K61" s="16"/>
      <c r="L61" s="16"/>
      <c r="M61" s="16"/>
      <c r="N61" s="16"/>
      <c r="O61" s="16"/>
    </row>
    <row r="62" spans="2:15" ht="14.25">
      <c r="B62" t="s">
        <v>80</v>
      </c>
      <c r="C62" s="4">
        <v>0</v>
      </c>
      <c r="D62" s="4">
        <f>F62-C62</f>
        <v>-5500</v>
      </c>
      <c r="E62" s="4"/>
      <c r="F62" s="4">
        <f>-C103</f>
        <v>-5500</v>
      </c>
      <c r="H62" s="4"/>
      <c r="I62" s="4"/>
      <c r="J62" s="4"/>
      <c r="K62" s="16"/>
      <c r="L62" s="16"/>
      <c r="M62" s="16"/>
      <c r="N62" s="16"/>
      <c r="O62" s="16"/>
    </row>
    <row r="63" spans="3:15" ht="14.25">
      <c r="C63" s="4"/>
      <c r="D63" s="4"/>
      <c r="E63" s="4"/>
      <c r="F63" s="4" t="s">
        <v>169</v>
      </c>
      <c r="G63" s="4"/>
      <c r="H63" s="4"/>
      <c r="I63" s="4"/>
      <c r="J63" s="4"/>
      <c r="K63" s="16"/>
      <c r="L63" s="16"/>
      <c r="M63" s="16"/>
      <c r="N63" s="16"/>
      <c r="O63" s="16"/>
    </row>
    <row r="64" spans="2:15" ht="14.25">
      <c r="B64" t="s">
        <v>81</v>
      </c>
      <c r="C64" s="4">
        <v>0</v>
      </c>
      <c r="D64" s="4">
        <f>F64-C64</f>
        <v>-12000</v>
      </c>
      <c r="E64" s="4">
        <v>0</v>
      </c>
      <c r="F64" s="4">
        <f>-30000*0.27-15000*0.26</f>
        <v>-12000</v>
      </c>
      <c r="G64" s="4"/>
      <c r="H64" s="4"/>
      <c r="I64" s="4"/>
      <c r="J64" s="4"/>
      <c r="K64" s="16"/>
      <c r="L64" s="16"/>
      <c r="M64" s="16"/>
      <c r="N64" s="16"/>
      <c r="O64" s="16"/>
    </row>
    <row r="65" spans="3:15" ht="14.25">
      <c r="C65" s="4" t="s">
        <v>104</v>
      </c>
      <c r="D65" s="4"/>
      <c r="E65" s="4" t="s">
        <v>130</v>
      </c>
      <c r="F65" s="4"/>
      <c r="G65" s="4"/>
      <c r="H65" s="4"/>
      <c r="I65" s="4"/>
      <c r="J65" s="4"/>
      <c r="K65" s="16"/>
      <c r="L65" s="16"/>
      <c r="M65" s="16"/>
      <c r="N65" s="16"/>
      <c r="O65" s="16"/>
    </row>
    <row r="66" spans="2:15" ht="14.25">
      <c r="B66" t="s">
        <v>37</v>
      </c>
      <c r="C66" s="4">
        <f>-C127*0.3</f>
        <v>-7666.666666666668</v>
      </c>
      <c r="D66" s="4">
        <f>F66-E66-C66</f>
        <v>-3071.428571428569</v>
      </c>
      <c r="E66" s="4">
        <f>-C157+C144</f>
        <v>-5416.0714285714275</v>
      </c>
      <c r="F66" s="4">
        <f>-C201</f>
        <v>-16154.166666666664</v>
      </c>
      <c r="H66" s="4"/>
      <c r="I66" s="4"/>
      <c r="J66" s="4"/>
      <c r="K66" s="16"/>
      <c r="L66" s="16"/>
      <c r="M66" s="16"/>
      <c r="N66" s="16"/>
      <c r="O66" s="16"/>
    </row>
    <row r="67" spans="3:15" ht="14.25">
      <c r="C67" s="4"/>
      <c r="D67" s="4"/>
      <c r="E67" s="4"/>
      <c r="F67" s="4"/>
      <c r="G67" s="4"/>
      <c r="H67" s="4"/>
      <c r="I67" s="4"/>
      <c r="J67" s="4"/>
      <c r="K67" s="16"/>
      <c r="L67" s="16"/>
      <c r="M67" s="16"/>
      <c r="N67" s="16"/>
      <c r="O67" s="16"/>
    </row>
    <row r="68" spans="2:15" ht="14.25">
      <c r="B68" t="s">
        <v>85</v>
      </c>
      <c r="C68" s="4">
        <f>-C215</f>
        <v>-10000</v>
      </c>
      <c r="D68" s="4">
        <f>-C228+C238-C262</f>
        <v>6000</v>
      </c>
      <c r="E68" s="4">
        <f>-C277</f>
        <v>-2000</v>
      </c>
      <c r="F68" s="4">
        <f>C68+D68+E68</f>
        <v>-6000</v>
      </c>
      <c r="G68" s="4"/>
      <c r="H68" s="4"/>
      <c r="I68" s="4"/>
      <c r="J68" s="4"/>
      <c r="K68" s="16"/>
      <c r="L68" s="16"/>
      <c r="M68" s="16"/>
      <c r="N68" s="16"/>
      <c r="O68" s="16"/>
    </row>
    <row r="69" spans="3:15" ht="14.25">
      <c r="C69" s="4"/>
      <c r="D69" s="4"/>
      <c r="E69" s="4"/>
      <c r="F69" s="4"/>
      <c r="G69" s="4"/>
      <c r="H69" s="4"/>
      <c r="I69" s="4"/>
      <c r="J69" s="4"/>
      <c r="K69" s="16"/>
      <c r="L69" s="16"/>
      <c r="M69" s="16"/>
      <c r="N69" s="16"/>
      <c r="O69" s="16"/>
    </row>
    <row r="70" spans="2:15" ht="15.75" thickBot="1">
      <c r="B70" s="2"/>
      <c r="C70" s="6">
        <f>SUM(C56:C68)</f>
        <v>-16166.666666666668</v>
      </c>
      <c r="D70" s="6">
        <f>SUM(D56:D68)</f>
        <v>2258.571428571431</v>
      </c>
      <c r="E70" s="6">
        <f>SUM(E56:E68)</f>
        <v>-7416.0714285714275</v>
      </c>
      <c r="F70" s="6">
        <f>SUM(F56:F68)</f>
        <v>-21324.166666666664</v>
      </c>
      <c r="G70" s="4"/>
      <c r="H70" s="4"/>
      <c r="I70" s="4"/>
      <c r="J70" s="4"/>
      <c r="K70" s="16"/>
      <c r="L70" s="16"/>
      <c r="M70" s="16"/>
      <c r="N70" s="16"/>
      <c r="O70" s="16"/>
    </row>
    <row r="71" spans="2:15" ht="14.25">
      <c r="B71" s="3"/>
      <c r="C71" s="4"/>
      <c r="D71" s="4"/>
      <c r="E71" s="4"/>
      <c r="F71" s="4"/>
      <c r="G71" s="4"/>
      <c r="H71" s="4"/>
      <c r="I71" s="4"/>
      <c r="J71" s="4"/>
      <c r="K71" s="16"/>
      <c r="L71" s="16"/>
      <c r="M71" s="16"/>
      <c r="N71" s="16"/>
      <c r="O71" s="16"/>
    </row>
    <row r="72" spans="2:13" ht="15">
      <c r="B72" s="2"/>
      <c r="C72" s="8"/>
      <c r="H72" s="4"/>
      <c r="I72" s="4"/>
      <c r="J72" s="4"/>
      <c r="K72" s="4"/>
      <c r="L72" s="4"/>
      <c r="M72" s="4"/>
    </row>
    <row r="73" spans="1:13" ht="15">
      <c r="A73" s="13" t="s">
        <v>14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4.25">
      <c r="A74" s="12"/>
    </row>
    <row r="75" spans="1:2" ht="14.25">
      <c r="A75" s="12" t="s">
        <v>10</v>
      </c>
      <c r="B75" s="3" t="s">
        <v>12</v>
      </c>
    </row>
    <row r="76" spans="5:10" ht="14.25">
      <c r="E76" s="4"/>
      <c r="F76" s="4"/>
      <c r="G76" s="4"/>
      <c r="H76" s="4"/>
      <c r="I76" s="4"/>
      <c r="J76" s="4"/>
    </row>
    <row r="77" spans="2:10" ht="14.25">
      <c r="B77" t="s">
        <v>25</v>
      </c>
      <c r="C77" s="4">
        <v>0</v>
      </c>
      <c r="E77" s="4"/>
      <c r="F77" s="4"/>
      <c r="G77" s="4"/>
      <c r="H77" s="4"/>
      <c r="I77" s="4"/>
      <c r="J77" s="4"/>
    </row>
    <row r="78" spans="3:10" ht="14.25">
      <c r="C78" s="4"/>
      <c r="E78" s="4" t="s">
        <v>75</v>
      </c>
      <c r="F78" s="4"/>
      <c r="G78" s="4"/>
      <c r="H78" s="4"/>
      <c r="I78" s="4"/>
      <c r="J78" s="4"/>
    </row>
    <row r="79" spans="2:10" ht="14.25">
      <c r="B79" t="s">
        <v>7</v>
      </c>
      <c r="C79" s="4">
        <f>30000*0.27+30000*0.26</f>
        <v>15900</v>
      </c>
      <c r="E79" s="4"/>
      <c r="F79" s="4"/>
      <c r="G79" s="4"/>
      <c r="H79" s="4"/>
      <c r="I79" s="4"/>
      <c r="J79" s="4"/>
    </row>
    <row r="80" spans="3:10" ht="14.25">
      <c r="C80" s="4"/>
      <c r="E80" s="4"/>
      <c r="F80" s="4"/>
      <c r="G80" s="4"/>
      <c r="H80" s="4"/>
      <c r="I80" s="4"/>
      <c r="J80" s="4"/>
    </row>
    <row r="81" spans="1:10" ht="14.25">
      <c r="A81" s="12"/>
      <c r="C81" s="4"/>
      <c r="D81" s="4"/>
      <c r="E81" s="4"/>
      <c r="F81" s="4"/>
      <c r="G81" s="4"/>
      <c r="H81" s="4"/>
      <c r="I81" s="4"/>
      <c r="J81" s="4"/>
    </row>
    <row r="82" spans="1:10" ht="14.25">
      <c r="A82" s="12" t="s">
        <v>11</v>
      </c>
      <c r="B82" s="3" t="s">
        <v>78</v>
      </c>
      <c r="C82" s="3"/>
      <c r="D82" s="4"/>
      <c r="E82" s="4"/>
      <c r="F82" s="4"/>
      <c r="G82" s="4"/>
      <c r="H82" s="4"/>
      <c r="I82" s="4"/>
      <c r="J82" s="4"/>
    </row>
    <row r="83" spans="1:10" ht="14.25">
      <c r="A83" s="12"/>
      <c r="C83" s="4"/>
      <c r="D83" s="4"/>
      <c r="E83" s="4"/>
      <c r="F83" t="s">
        <v>39</v>
      </c>
      <c r="G83" s="4"/>
      <c r="H83" s="4"/>
      <c r="I83" s="4"/>
      <c r="J83" s="4"/>
    </row>
    <row r="84" spans="1:10" ht="15">
      <c r="A84" s="12"/>
      <c r="B84" t="s">
        <v>25</v>
      </c>
      <c r="C84" s="4">
        <v>-5000</v>
      </c>
      <c r="D84" s="4" t="s">
        <v>38</v>
      </c>
      <c r="E84" s="4"/>
      <c r="F84" s="18">
        <f>5000/50000</f>
        <v>0.1</v>
      </c>
      <c r="G84" s="4"/>
      <c r="H84" s="4"/>
      <c r="I84" s="4"/>
      <c r="J84" s="4"/>
    </row>
    <row r="85" spans="1:10" ht="14.25">
      <c r="A85" s="12"/>
      <c r="C85" s="4"/>
      <c r="D85" s="4"/>
      <c r="E85" s="4"/>
      <c r="F85" s="4"/>
      <c r="G85" s="4"/>
      <c r="H85" s="4"/>
      <c r="I85" s="4"/>
      <c r="J85" s="4"/>
    </row>
    <row r="86" spans="1:10" ht="14.25">
      <c r="A86" s="12"/>
      <c r="B86" t="s">
        <v>40</v>
      </c>
      <c r="C86" s="4">
        <f>C90-C88-C84</f>
        <v>-6000</v>
      </c>
      <c r="D86" s="4"/>
      <c r="E86" s="4"/>
      <c r="F86" s="4"/>
      <c r="G86" s="4"/>
      <c r="H86" s="4"/>
      <c r="I86" s="4"/>
      <c r="J86" s="4"/>
    </row>
    <row r="87" spans="1:10" ht="14.25">
      <c r="A87" s="12"/>
      <c r="C87" s="4"/>
      <c r="D87" s="4"/>
      <c r="E87" s="4"/>
      <c r="F87" s="4"/>
      <c r="G87" s="4"/>
      <c r="H87" s="4"/>
      <c r="I87" s="4"/>
      <c r="J87" s="4"/>
    </row>
    <row r="88" spans="1:10" ht="14.25">
      <c r="A88" s="12"/>
      <c r="B88" t="s">
        <v>41</v>
      </c>
      <c r="C88" s="4">
        <v>2000</v>
      </c>
      <c r="D88" s="4"/>
      <c r="E88" s="4"/>
      <c r="F88" s="4"/>
      <c r="G88" s="4"/>
      <c r="H88" s="4"/>
      <c r="I88" s="4"/>
      <c r="J88" s="4"/>
    </row>
    <row r="89" spans="1:10" ht="14.25">
      <c r="A89" s="12"/>
      <c r="C89" s="4" t="s">
        <v>42</v>
      </c>
      <c r="D89" s="4"/>
      <c r="E89" s="4"/>
      <c r="F89" s="4"/>
      <c r="G89" s="4"/>
      <c r="H89" s="4"/>
      <c r="I89" s="4"/>
      <c r="J89" s="4"/>
    </row>
    <row r="90" spans="1:10" ht="15" thickBot="1">
      <c r="A90" s="12"/>
      <c r="B90" t="s">
        <v>7</v>
      </c>
      <c r="C90" s="6">
        <f>-90000*F84</f>
        <v>-9000</v>
      </c>
      <c r="D90" s="4"/>
      <c r="E90" s="4"/>
      <c r="F90" s="4"/>
      <c r="G90" s="4"/>
      <c r="H90" s="4"/>
      <c r="I90" s="4"/>
      <c r="J90" s="4"/>
    </row>
    <row r="91" spans="1:10" ht="14.25">
      <c r="A91" s="12"/>
      <c r="C91" s="4"/>
      <c r="D91" s="4"/>
      <c r="E91" s="4"/>
      <c r="F91" s="4"/>
      <c r="G91" s="4"/>
      <c r="H91" s="4"/>
      <c r="I91" s="4"/>
      <c r="J91" s="4"/>
    </row>
    <row r="92" spans="1:10" ht="14.25">
      <c r="A92" s="12"/>
      <c r="C92" s="4"/>
      <c r="D92" s="4"/>
      <c r="E92" s="4"/>
      <c r="F92" s="4"/>
      <c r="G92" s="4"/>
      <c r="H92" s="4"/>
      <c r="I92" s="4"/>
      <c r="J92" s="4"/>
    </row>
    <row r="93" spans="1:10" ht="14.25">
      <c r="A93" s="12" t="s">
        <v>16</v>
      </c>
      <c r="B93" s="3" t="s">
        <v>138</v>
      </c>
      <c r="E93" s="4"/>
      <c r="F93" s="4"/>
      <c r="G93" s="4"/>
      <c r="H93" s="4"/>
      <c r="I93" s="4"/>
      <c r="J93" s="4"/>
    </row>
    <row r="94" spans="1:10" ht="14.25">
      <c r="A94" s="12"/>
      <c r="C94" s="4"/>
      <c r="D94" s="4"/>
      <c r="E94" s="4"/>
      <c r="F94" s="4"/>
      <c r="G94" s="4"/>
      <c r="H94" s="4"/>
      <c r="I94" s="4"/>
      <c r="J94" s="4"/>
    </row>
    <row r="95" spans="1:10" ht="14.25">
      <c r="A95" s="12"/>
      <c r="B95" t="s">
        <v>55</v>
      </c>
      <c r="C95" s="4">
        <v>70000</v>
      </c>
      <c r="D95" s="4"/>
      <c r="E95" s="4"/>
      <c r="F95" s="4"/>
      <c r="G95" s="4"/>
      <c r="H95" s="4"/>
      <c r="I95" s="4"/>
      <c r="J95" s="4"/>
    </row>
    <row r="96" spans="1:10" ht="14.25">
      <c r="A96" s="12"/>
      <c r="C96" s="4"/>
      <c r="D96" s="4" t="s">
        <v>57</v>
      </c>
      <c r="E96" s="4"/>
      <c r="F96" s="4"/>
      <c r="G96" s="4"/>
      <c r="H96" s="4"/>
      <c r="I96" s="4"/>
      <c r="J96" s="4"/>
    </row>
    <row r="97" spans="1:10" ht="14.25">
      <c r="A97" s="12"/>
      <c r="B97" t="s">
        <v>56</v>
      </c>
      <c r="C97" s="4">
        <f>-50000*4.25/5</f>
        <v>-42500</v>
      </c>
      <c r="D97" s="4"/>
      <c r="E97" s="4"/>
      <c r="F97" s="4"/>
      <c r="G97" s="4"/>
      <c r="H97" s="4"/>
      <c r="I97" s="4"/>
      <c r="J97" s="4"/>
    </row>
    <row r="98" spans="1:10" ht="14.25">
      <c r="A98" s="12"/>
      <c r="C98" s="4"/>
      <c r="D98" s="4"/>
      <c r="E98" s="4"/>
      <c r="F98" s="4"/>
      <c r="G98" s="4"/>
      <c r="H98" s="4"/>
      <c r="I98" s="4"/>
      <c r="J98" s="4"/>
    </row>
    <row r="99" spans="1:10" ht="15" thickBot="1">
      <c r="A99" s="12"/>
      <c r="C99" s="6">
        <f>C95+C97</f>
        <v>27500</v>
      </c>
      <c r="D99" s="4"/>
      <c r="E99" s="4"/>
      <c r="F99" s="4"/>
      <c r="G99" s="4"/>
      <c r="H99" s="4"/>
      <c r="I99" s="4"/>
      <c r="J99" s="4"/>
    </row>
    <row r="100" spans="1:10" ht="14.25">
      <c r="A100" s="12"/>
      <c r="C100" s="4"/>
      <c r="D100" s="4"/>
      <c r="E100" s="4"/>
      <c r="F100" s="4"/>
      <c r="G100" s="4"/>
      <c r="H100" s="4"/>
      <c r="I100" s="4"/>
      <c r="J100" s="4"/>
    </row>
    <row r="101" spans="1:10" ht="14.25">
      <c r="A101" s="12"/>
      <c r="B101" t="s">
        <v>32</v>
      </c>
      <c r="C101" s="4"/>
      <c r="D101" s="4"/>
      <c r="E101" s="4"/>
      <c r="F101" s="4"/>
      <c r="G101" s="4"/>
      <c r="H101" s="4"/>
      <c r="I101" s="4"/>
      <c r="J101" s="4"/>
    </row>
    <row r="102" spans="1:10" ht="14.25">
      <c r="A102" s="12"/>
      <c r="C102" s="4"/>
      <c r="D102" s="4" t="s">
        <v>82</v>
      </c>
      <c r="E102" s="4"/>
      <c r="F102" s="4"/>
      <c r="G102" s="4"/>
      <c r="H102" s="4"/>
      <c r="I102" s="4"/>
      <c r="J102" s="4"/>
    </row>
    <row r="103" spans="1:10" ht="14.25">
      <c r="A103" s="12"/>
      <c r="C103" s="4">
        <f>C99*0.2</f>
        <v>5500</v>
      </c>
      <c r="D103" s="4"/>
      <c r="E103" s="4"/>
      <c r="F103" s="4"/>
      <c r="G103" s="4"/>
      <c r="H103" s="4"/>
      <c r="I103" s="4"/>
      <c r="J103" s="4"/>
    </row>
    <row r="104" spans="1:10" ht="14.25">
      <c r="A104" s="12"/>
      <c r="C104" s="4"/>
      <c r="D104" s="4"/>
      <c r="E104" s="4"/>
      <c r="F104" s="4"/>
      <c r="G104" s="4"/>
      <c r="H104" s="4"/>
      <c r="I104" s="4"/>
      <c r="J104" s="4"/>
    </row>
    <row r="105" spans="1:10" ht="14.25">
      <c r="A105" s="12"/>
      <c r="C105" s="4"/>
      <c r="D105" s="4"/>
      <c r="E105" s="4"/>
      <c r="F105" s="4"/>
      <c r="G105" s="4"/>
      <c r="H105" s="4"/>
      <c r="I105" s="4"/>
      <c r="J105" s="4"/>
    </row>
    <row r="106" spans="1:10" ht="14.25">
      <c r="A106" s="12" t="s">
        <v>13</v>
      </c>
      <c r="B106" s="3" t="s">
        <v>93</v>
      </c>
      <c r="C106" s="3"/>
      <c r="D106" s="4"/>
      <c r="E106" s="4"/>
      <c r="F106" s="4"/>
      <c r="G106" s="4"/>
      <c r="H106" s="4"/>
      <c r="I106" s="4"/>
      <c r="J106" s="4"/>
    </row>
    <row r="107" spans="1:10" ht="14.25">
      <c r="A107" s="12"/>
      <c r="B107" s="3"/>
      <c r="C107" s="3"/>
      <c r="D107" s="4"/>
      <c r="E107" s="4"/>
      <c r="F107" s="4"/>
      <c r="G107" s="4"/>
      <c r="H107" s="4"/>
      <c r="I107" s="4"/>
      <c r="J107" s="4"/>
    </row>
    <row r="108" spans="1:10" ht="15">
      <c r="A108" s="12"/>
      <c r="B108" s="19" t="s">
        <v>94</v>
      </c>
      <c r="C108" s="3"/>
      <c r="D108" s="4"/>
      <c r="E108" s="4"/>
      <c r="F108" s="4"/>
      <c r="G108" s="4"/>
      <c r="H108" s="4"/>
      <c r="I108" s="4"/>
      <c r="J108" s="4"/>
    </row>
    <row r="109" spans="1:10" ht="14.25">
      <c r="A109" s="12"/>
      <c r="C109" s="4"/>
      <c r="D109" s="4"/>
      <c r="E109" s="4"/>
      <c r="F109" s="4"/>
      <c r="G109" s="4"/>
      <c r="H109" s="4"/>
      <c r="I109" s="4"/>
      <c r="J109" s="4"/>
    </row>
    <row r="110" spans="1:10" ht="14.25">
      <c r="A110" s="12"/>
      <c r="B110" t="s">
        <v>44</v>
      </c>
      <c r="C110" s="4">
        <v>220000</v>
      </c>
      <c r="D110" s="4"/>
      <c r="E110" s="4"/>
      <c r="F110" s="4"/>
      <c r="G110" s="4"/>
      <c r="H110" s="4"/>
      <c r="I110" s="4"/>
      <c r="J110" s="4"/>
    </row>
    <row r="111" spans="1:10" ht="14.25">
      <c r="A111" s="12"/>
      <c r="E111" s="4"/>
      <c r="F111" s="4"/>
      <c r="G111" s="4"/>
      <c r="H111" s="4"/>
      <c r="I111" s="4"/>
      <c r="J111" s="4"/>
    </row>
    <row r="112" spans="1:10" ht="14.25">
      <c r="A112" s="12"/>
      <c r="B112" t="s">
        <v>45</v>
      </c>
      <c r="C112" s="4">
        <f>-250000*7/8</f>
        <v>-218750</v>
      </c>
      <c r="D112" t="s">
        <v>122</v>
      </c>
      <c r="E112" s="4"/>
      <c r="F112" s="4"/>
      <c r="G112" s="4"/>
      <c r="H112" s="4"/>
      <c r="I112" s="4"/>
      <c r="J112" s="4"/>
    </row>
    <row r="113" spans="1:10" ht="14.25">
      <c r="A113" s="12"/>
      <c r="C113" s="4"/>
      <c r="D113" s="4"/>
      <c r="E113" s="4"/>
      <c r="F113" s="4"/>
      <c r="G113" s="4"/>
      <c r="H113" s="4"/>
      <c r="I113" s="4"/>
      <c r="J113" s="4"/>
    </row>
    <row r="114" spans="1:10" ht="15" thickBot="1">
      <c r="A114" s="12"/>
      <c r="B114" t="s">
        <v>46</v>
      </c>
      <c r="C114" s="6">
        <f>C110+C112</f>
        <v>1250</v>
      </c>
      <c r="D114" s="4"/>
      <c r="E114" s="4"/>
      <c r="F114" s="4"/>
      <c r="G114" s="4"/>
      <c r="H114" s="4"/>
      <c r="I114" s="4"/>
      <c r="J114" s="4"/>
    </row>
    <row r="115" spans="1:10" ht="14.25">
      <c r="A115" s="12"/>
      <c r="C115" s="4"/>
      <c r="D115" s="4"/>
      <c r="E115" s="4"/>
      <c r="F115" s="4"/>
      <c r="G115" s="4"/>
      <c r="H115" s="4"/>
      <c r="I115" s="4"/>
      <c r="J115" s="4"/>
    </row>
    <row r="116" spans="1:10" ht="14.25">
      <c r="A116" s="12"/>
      <c r="B116" t="s">
        <v>47</v>
      </c>
      <c r="C116" s="4">
        <f>C114</f>
        <v>1250</v>
      </c>
      <c r="D116" s="4"/>
      <c r="E116" s="4"/>
      <c r="F116" s="4"/>
      <c r="G116" s="4"/>
      <c r="H116" s="4"/>
      <c r="I116" s="4"/>
      <c r="J116" s="4"/>
    </row>
    <row r="117" spans="1:10" ht="14.25">
      <c r="A117" s="12"/>
      <c r="B117" t="s">
        <v>48</v>
      </c>
      <c r="C117" s="4">
        <f>C116-C118</f>
        <v>875</v>
      </c>
      <c r="D117" s="4"/>
      <c r="E117" s="4"/>
      <c r="F117" s="4"/>
      <c r="G117" s="4"/>
      <c r="H117" s="4"/>
      <c r="I117" s="4"/>
      <c r="J117" s="4"/>
    </row>
    <row r="118" spans="1:10" ht="14.25">
      <c r="A118" s="12"/>
      <c r="B118" t="s">
        <v>49</v>
      </c>
      <c r="C118" s="4">
        <f>C114*0.3</f>
        <v>375</v>
      </c>
      <c r="D118" s="4" t="s">
        <v>96</v>
      </c>
      <c r="E118" s="4"/>
      <c r="F118" s="4"/>
      <c r="G118" s="4"/>
      <c r="H118" s="4"/>
      <c r="I118" s="4"/>
      <c r="J118" s="4"/>
    </row>
    <row r="119" spans="1:10" ht="14.25">
      <c r="A119" s="12"/>
      <c r="C119" s="4"/>
      <c r="D119" s="4"/>
      <c r="E119" s="4"/>
      <c r="F119" s="4"/>
      <c r="G119" s="4"/>
      <c r="H119" s="4"/>
      <c r="I119" s="4"/>
      <c r="J119" s="4"/>
    </row>
    <row r="120" spans="1:10" ht="14.25">
      <c r="A120" s="12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12"/>
      <c r="B121" s="19" t="s">
        <v>97</v>
      </c>
      <c r="C121" s="4"/>
      <c r="D121" s="4"/>
      <c r="E121" s="4"/>
      <c r="F121" s="4"/>
      <c r="G121" s="4"/>
      <c r="H121" s="4"/>
      <c r="I121" s="4"/>
      <c r="J121" s="4"/>
    </row>
    <row r="122" spans="1:10" ht="14.25">
      <c r="A122" s="12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12"/>
      <c r="B123" t="s">
        <v>98</v>
      </c>
      <c r="C123" s="4">
        <f>C110</f>
        <v>220000</v>
      </c>
      <c r="D123" s="4"/>
      <c r="E123" s="4"/>
      <c r="F123" s="4"/>
      <c r="G123" s="4"/>
      <c r="H123" s="4"/>
      <c r="I123" s="4"/>
      <c r="J123" s="4"/>
    </row>
    <row r="124" spans="1:10" ht="14.25">
      <c r="A124" s="12"/>
      <c r="C124" s="4"/>
      <c r="D124" s="4"/>
      <c r="E124" s="4"/>
      <c r="F124" s="4"/>
      <c r="G124" s="4"/>
      <c r="H124" s="4"/>
      <c r="I124" s="4"/>
      <c r="J124" s="4"/>
    </row>
    <row r="125" spans="1:10" ht="14.25">
      <c r="A125" s="12"/>
      <c r="B125" t="s">
        <v>99</v>
      </c>
      <c r="C125" s="4">
        <f>250000*28/36</f>
        <v>194444.44444444444</v>
      </c>
      <c r="D125" s="4" t="s">
        <v>100</v>
      </c>
      <c r="E125" s="4"/>
      <c r="F125" s="4"/>
      <c r="G125" s="4"/>
      <c r="H125" s="4"/>
      <c r="I125" s="4"/>
      <c r="J125" s="4"/>
    </row>
    <row r="126" spans="1:10" ht="14.25">
      <c r="A126" s="12"/>
      <c r="C126" s="4"/>
      <c r="D126" s="4"/>
      <c r="E126" s="4"/>
      <c r="F126" s="4"/>
      <c r="G126" s="4"/>
      <c r="H126" s="4"/>
      <c r="I126" s="4"/>
      <c r="J126" s="4"/>
    </row>
    <row r="127" spans="1:10" ht="15" thickBot="1">
      <c r="A127" s="12"/>
      <c r="B127" t="s">
        <v>101</v>
      </c>
      <c r="C127" s="6">
        <f>C123-C125</f>
        <v>25555.555555555562</v>
      </c>
      <c r="D127" s="4"/>
      <c r="E127" s="4"/>
      <c r="F127" s="4"/>
      <c r="G127" s="4"/>
      <c r="H127" s="4"/>
      <c r="I127" s="4"/>
      <c r="J127" s="4"/>
    </row>
    <row r="128" spans="1:10" ht="14.25">
      <c r="A128" s="12"/>
      <c r="C128" s="4"/>
      <c r="D128" s="4"/>
      <c r="E128" s="4"/>
      <c r="F128" s="4"/>
      <c r="G128" s="4"/>
      <c r="H128" s="4"/>
      <c r="I128" s="4"/>
      <c r="J128" s="4"/>
    </row>
    <row r="129" spans="1:10" ht="14.25">
      <c r="A129" s="12"/>
      <c r="B129" t="s">
        <v>102</v>
      </c>
      <c r="C129" s="4">
        <f>C114</f>
        <v>1250</v>
      </c>
      <c r="D129" s="4"/>
      <c r="E129" s="4"/>
      <c r="F129" s="4"/>
      <c r="G129" s="4"/>
      <c r="H129" s="4"/>
      <c r="I129" s="4"/>
      <c r="J129" s="4"/>
    </row>
    <row r="130" spans="1:10" ht="14.25">
      <c r="A130" s="12"/>
      <c r="C130" s="4"/>
      <c r="D130" s="4"/>
      <c r="E130" s="4"/>
      <c r="F130" s="4"/>
      <c r="G130" s="4"/>
      <c r="H130" s="4"/>
      <c r="I130" s="4"/>
      <c r="J130" s="4"/>
    </row>
    <row r="131" spans="1:10" ht="14.25">
      <c r="A131" s="12"/>
      <c r="B131" t="s">
        <v>103</v>
      </c>
      <c r="C131" s="4">
        <f>C127-C129</f>
        <v>24305.555555555562</v>
      </c>
      <c r="D131" s="4"/>
      <c r="E131" s="4"/>
      <c r="F131" s="4"/>
      <c r="G131" s="4"/>
      <c r="H131" s="4"/>
      <c r="I131" s="4"/>
      <c r="J131" s="4"/>
    </row>
    <row r="132" spans="1:10" ht="14.25">
      <c r="A132" s="12"/>
      <c r="C132" s="4"/>
      <c r="D132" s="4"/>
      <c r="E132" s="4"/>
      <c r="F132" s="4"/>
      <c r="G132" s="4"/>
      <c r="H132" s="4"/>
      <c r="I132" s="4"/>
      <c r="J132" s="4"/>
    </row>
    <row r="133" spans="7:10" ht="14.25">
      <c r="G133" s="4"/>
      <c r="H133" s="4"/>
      <c r="I133" s="4"/>
      <c r="J133" s="4"/>
    </row>
    <row r="134" spans="2:6" ht="14.25">
      <c r="B134" t="s">
        <v>105</v>
      </c>
      <c r="E134" s="4"/>
      <c r="F134" s="4"/>
    </row>
    <row r="135" spans="5:6" ht="14.25">
      <c r="E135" s="4"/>
      <c r="F135" s="4"/>
    </row>
    <row r="136" spans="2:6" ht="14.25">
      <c r="B136" t="s">
        <v>106</v>
      </c>
      <c r="C136" s="14">
        <f>C118</f>
        <v>375</v>
      </c>
      <c r="E136" s="4"/>
      <c r="F136" s="4"/>
    </row>
    <row r="137" spans="4:6" ht="14.25">
      <c r="D137" t="s">
        <v>108</v>
      </c>
      <c r="E137" s="4"/>
      <c r="F137" s="4"/>
    </row>
    <row r="138" spans="2:6" ht="14.25">
      <c r="B138" t="s">
        <v>107</v>
      </c>
      <c r="C138" s="14">
        <f>1250/7*(0.3+0.27+0.26+4*0.25)</f>
        <v>326.78571428571433</v>
      </c>
      <c r="E138" s="4"/>
      <c r="F138" s="4"/>
    </row>
    <row r="139" spans="5:6" ht="14.25">
      <c r="E139" s="4"/>
      <c r="F139" s="4"/>
    </row>
    <row r="140" spans="1:6" ht="15" thickBot="1">
      <c r="A140" s="12"/>
      <c r="B140" t="s">
        <v>109</v>
      </c>
      <c r="C140" s="6">
        <f>C136-C138</f>
        <v>48.214285714285666</v>
      </c>
      <c r="D140" s="4"/>
      <c r="E140" s="4"/>
      <c r="F140" s="4"/>
    </row>
    <row r="141" spans="1:6" ht="14.25">
      <c r="A141" s="12"/>
      <c r="E141" s="4"/>
      <c r="F141" s="4"/>
    </row>
    <row r="142" spans="1:6" ht="14.25">
      <c r="A142" s="12"/>
      <c r="E142" s="4"/>
      <c r="F142" s="4"/>
    </row>
    <row r="143" spans="1:6" ht="14.25">
      <c r="A143" s="12"/>
      <c r="B143" t="s">
        <v>18</v>
      </c>
      <c r="C143" s="14">
        <f>C140</f>
        <v>48.214285714285666</v>
      </c>
      <c r="E143" s="4"/>
      <c r="F143" s="4"/>
    </row>
    <row r="144" spans="1:6" ht="14.25">
      <c r="A144" s="12"/>
      <c r="B144" t="s">
        <v>48</v>
      </c>
      <c r="C144" s="14">
        <f>C143</f>
        <v>48.214285714285666</v>
      </c>
      <c r="E144" s="4"/>
      <c r="F144" s="4"/>
    </row>
    <row r="145" spans="1:6" ht="14.25">
      <c r="A145" s="12"/>
      <c r="E145" s="4"/>
      <c r="F145" s="4"/>
    </row>
    <row r="146" spans="1:6" ht="14.25">
      <c r="A146" s="12"/>
      <c r="E146" s="4"/>
      <c r="F146" s="4"/>
    </row>
    <row r="147" spans="1:6" ht="15">
      <c r="A147" s="12"/>
      <c r="B147" s="19" t="s">
        <v>110</v>
      </c>
      <c r="C147" s="3"/>
      <c r="D147" s="4"/>
      <c r="E147" s="4"/>
      <c r="F147" s="4"/>
    </row>
    <row r="148" spans="1:6" ht="14.25">
      <c r="A148" s="12"/>
      <c r="C148" s="4"/>
      <c r="D148" s="4"/>
      <c r="E148" s="4"/>
      <c r="F148" s="4"/>
    </row>
    <row r="149" spans="1:6" ht="14.25">
      <c r="A149" s="12"/>
      <c r="B149" t="s">
        <v>44</v>
      </c>
      <c r="C149" s="4">
        <v>210000</v>
      </c>
      <c r="D149" s="4"/>
      <c r="E149" s="4"/>
      <c r="F149" s="4"/>
    </row>
    <row r="150" spans="1:6" ht="14.25">
      <c r="A150" s="12"/>
      <c r="C150" s="4"/>
      <c r="D150" s="4" t="s">
        <v>111</v>
      </c>
      <c r="E150" s="4"/>
      <c r="F150" s="4"/>
    </row>
    <row r="151" spans="1:6" ht="14.25">
      <c r="A151" s="12"/>
      <c r="B151" t="s">
        <v>45</v>
      </c>
      <c r="C151" s="4">
        <f>-220000*6/7</f>
        <v>-188571.42857142858</v>
      </c>
      <c r="D151" s="4"/>
      <c r="E151" s="4"/>
      <c r="F151" s="4"/>
    </row>
    <row r="152" spans="1:6" ht="14.25">
      <c r="A152" s="12"/>
      <c r="C152" s="4"/>
      <c r="D152" s="4"/>
      <c r="E152" s="4"/>
      <c r="F152" s="4"/>
    </row>
    <row r="153" spans="1:6" ht="15" thickBot="1">
      <c r="A153" s="12"/>
      <c r="B153" t="s">
        <v>46</v>
      </c>
      <c r="C153" s="6">
        <f>C149+C151</f>
        <v>21428.57142857142</v>
      </c>
      <c r="D153" s="4"/>
      <c r="E153" s="4"/>
      <c r="F153" s="4"/>
    </row>
    <row r="154" spans="1:6" ht="14.25">
      <c r="A154" s="12"/>
      <c r="C154" s="4"/>
      <c r="D154" s="4"/>
      <c r="E154" s="4"/>
      <c r="F154" s="4"/>
    </row>
    <row r="155" spans="1:6" ht="14.25">
      <c r="A155" s="12"/>
      <c r="B155" t="s">
        <v>47</v>
      </c>
      <c r="C155" s="4">
        <f>C153</f>
        <v>21428.57142857142</v>
      </c>
      <c r="D155" s="4"/>
      <c r="E155" s="4"/>
      <c r="F155" s="4"/>
    </row>
    <row r="156" spans="1:6" ht="14.25">
      <c r="A156" s="12"/>
      <c r="B156" t="s">
        <v>48</v>
      </c>
      <c r="C156" s="4">
        <f>C155-C157</f>
        <v>15964.285714285706</v>
      </c>
      <c r="D156" s="4"/>
      <c r="E156" s="4"/>
      <c r="F156" s="4"/>
    </row>
    <row r="157" spans="1:6" ht="14.25">
      <c r="A157" s="12"/>
      <c r="B157" t="s">
        <v>49</v>
      </c>
      <c r="C157" s="4">
        <f>C153/6*(0.27+0.26+4*0.25)</f>
        <v>5464.285714285713</v>
      </c>
      <c r="D157" s="4"/>
      <c r="E157" s="4" t="s">
        <v>112</v>
      </c>
      <c r="F157" s="4"/>
    </row>
    <row r="158" spans="1:6" ht="14.25">
      <c r="A158" s="12"/>
      <c r="C158" s="4"/>
      <c r="D158" s="4"/>
      <c r="E158" s="4"/>
      <c r="F158" s="4"/>
    </row>
    <row r="159" spans="1:6" ht="14.25">
      <c r="A159" s="12"/>
      <c r="C159" s="4"/>
      <c r="D159" s="4"/>
      <c r="E159" s="4"/>
      <c r="F159" s="4"/>
    </row>
    <row r="160" spans="1:6" ht="15">
      <c r="A160" s="12"/>
      <c r="B160" s="19" t="s">
        <v>113</v>
      </c>
      <c r="C160" s="4"/>
      <c r="D160" s="4"/>
      <c r="E160" s="4"/>
      <c r="F160" s="4"/>
    </row>
    <row r="161" spans="3:4" ht="14.25">
      <c r="C161" s="4"/>
      <c r="D161" s="4"/>
    </row>
    <row r="162" spans="2:4" ht="14.25">
      <c r="B162" t="s">
        <v>98</v>
      </c>
      <c r="C162" s="4">
        <f>C149</f>
        <v>210000</v>
      </c>
      <c r="D162" s="4"/>
    </row>
    <row r="163" spans="3:10" ht="14.25">
      <c r="C163" s="4"/>
      <c r="D163" s="4"/>
      <c r="F163" s="4"/>
      <c r="G163" s="4"/>
      <c r="H163" s="4"/>
      <c r="I163" s="4"/>
      <c r="J163" s="4"/>
    </row>
    <row r="164" spans="1:10" ht="14.25">
      <c r="A164" s="12"/>
      <c r="B164" t="s">
        <v>99</v>
      </c>
      <c r="C164" s="4">
        <f>250000*21/36</f>
        <v>145833.33333333334</v>
      </c>
      <c r="D164" s="4" t="s">
        <v>114</v>
      </c>
      <c r="E164" s="4"/>
      <c r="F164" s="4"/>
      <c r="G164" s="4"/>
      <c r="H164" s="4"/>
      <c r="I164" s="4"/>
      <c r="J164" s="4"/>
    </row>
    <row r="165" spans="1:10" ht="14.25">
      <c r="A165" s="12"/>
      <c r="C165" s="4"/>
      <c r="D165" s="4"/>
      <c r="E165" s="4"/>
      <c r="F165" s="4"/>
      <c r="G165" s="4"/>
      <c r="H165" s="4"/>
      <c r="I165" s="4"/>
      <c r="J165" s="4"/>
    </row>
    <row r="166" spans="1:10" ht="15" thickBot="1">
      <c r="A166" s="12"/>
      <c r="B166" t="s">
        <v>101</v>
      </c>
      <c r="C166" s="6">
        <f>C162-C164</f>
        <v>64166.66666666666</v>
      </c>
      <c r="D166" s="4"/>
      <c r="E166" s="4"/>
      <c r="F166" s="4"/>
      <c r="G166" s="4"/>
      <c r="H166" s="4"/>
      <c r="I166" s="4"/>
      <c r="J166" s="4"/>
    </row>
    <row r="167" spans="1:10" ht="14.25">
      <c r="A167" s="12"/>
      <c r="C167" s="4"/>
      <c r="D167" s="4"/>
      <c r="E167" s="4"/>
      <c r="F167" s="4"/>
      <c r="G167" s="4"/>
      <c r="H167" s="4"/>
      <c r="I167" s="4"/>
      <c r="J167" s="4"/>
    </row>
    <row r="168" spans="1:10" ht="14.25">
      <c r="A168" s="12"/>
      <c r="B168" t="s">
        <v>102</v>
      </c>
      <c r="C168" s="4">
        <f>C153+C116*6/7</f>
        <v>22499.999999999993</v>
      </c>
      <c r="D168" s="4"/>
      <c r="E168" s="4" t="s">
        <v>123</v>
      </c>
      <c r="F168" s="4"/>
      <c r="G168" s="4"/>
      <c r="H168" s="4"/>
      <c r="I168" s="4"/>
      <c r="J168" s="4"/>
    </row>
    <row r="169" spans="1:10" ht="14.25">
      <c r="A169" s="12"/>
      <c r="C169" s="4"/>
      <c r="D169" s="4"/>
      <c r="E169" s="4"/>
      <c r="F169" s="4"/>
      <c r="G169" s="4"/>
      <c r="H169" s="4"/>
      <c r="I169" s="4"/>
      <c r="J169" s="4"/>
    </row>
    <row r="170" spans="1:10" ht="14.25">
      <c r="A170" s="12"/>
      <c r="B170" t="s">
        <v>103</v>
      </c>
      <c r="C170" s="4">
        <f>C166-C168</f>
        <v>41666.666666666664</v>
      </c>
      <c r="D170" s="4"/>
      <c r="E170" s="4" t="s">
        <v>124</v>
      </c>
      <c r="F170" s="4"/>
      <c r="G170" s="4"/>
      <c r="H170" s="4"/>
      <c r="I170" s="4"/>
      <c r="J170" s="4"/>
    </row>
    <row r="171" spans="1:10" ht="14.25">
      <c r="A171" s="12"/>
      <c r="C171" s="4"/>
      <c r="D171" s="4"/>
      <c r="E171" s="4"/>
      <c r="F171" s="4"/>
      <c r="G171" s="4"/>
      <c r="H171" s="4"/>
      <c r="I171" s="4"/>
      <c r="J171" s="4"/>
    </row>
    <row r="172" spans="1:10" ht="14.25">
      <c r="A172" s="12"/>
      <c r="C172" s="4"/>
      <c r="D172" s="4"/>
      <c r="E172" s="4"/>
      <c r="F172" s="4"/>
      <c r="G172" s="4"/>
      <c r="H172" s="4"/>
      <c r="I172" s="4"/>
      <c r="J172" s="4"/>
    </row>
    <row r="173" spans="1:10" ht="14.25">
      <c r="A173" s="12"/>
      <c r="B173" s="20" t="s">
        <v>115</v>
      </c>
      <c r="C173" s="4"/>
      <c r="D173" s="4"/>
      <c r="E173" s="4"/>
      <c r="F173" s="4"/>
      <c r="G173" s="4"/>
      <c r="H173" s="4"/>
      <c r="I173" s="4"/>
      <c r="J173" s="4"/>
    </row>
    <row r="174" spans="1:10" ht="14.25">
      <c r="A174" s="12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12"/>
      <c r="B175" s="19" t="s">
        <v>116</v>
      </c>
      <c r="C175" s="4"/>
      <c r="D175" s="4"/>
      <c r="E175" s="4"/>
      <c r="F175" s="4"/>
      <c r="G175" s="4"/>
      <c r="H175" s="4"/>
      <c r="I175" s="4"/>
      <c r="J175" s="4"/>
    </row>
    <row r="176" spans="1:10" ht="14.25">
      <c r="A176" s="12"/>
      <c r="C176" s="4"/>
      <c r="E176" s="4"/>
      <c r="F176" s="4"/>
      <c r="G176" s="4"/>
      <c r="H176" s="4"/>
      <c r="I176" s="4"/>
      <c r="J176" s="4"/>
    </row>
    <row r="177" spans="1:10" ht="14.25">
      <c r="A177" s="12"/>
      <c r="B177" t="s">
        <v>117</v>
      </c>
      <c r="C177" s="4">
        <f>250000*5/8</f>
        <v>156250</v>
      </c>
      <c r="D177" s="4" t="s">
        <v>95</v>
      </c>
      <c r="E177" s="4"/>
      <c r="F177" s="4"/>
      <c r="G177" s="4"/>
      <c r="H177" s="4"/>
      <c r="I177" s="4"/>
      <c r="J177" s="4"/>
    </row>
    <row r="178" spans="1:10" ht="14.25">
      <c r="A178" s="12"/>
      <c r="C178" s="4"/>
      <c r="D178" s="4"/>
      <c r="E178" s="4"/>
      <c r="F178" s="4"/>
      <c r="G178" s="4"/>
      <c r="H178" s="4"/>
      <c r="I178" s="4"/>
      <c r="J178" s="4"/>
    </row>
    <row r="179" spans="1:10" ht="14.25">
      <c r="A179" s="12"/>
      <c r="B179" t="s">
        <v>99</v>
      </c>
      <c r="C179" s="4">
        <f>250000*15/36</f>
        <v>104166.66666666667</v>
      </c>
      <c r="D179" s="4" t="s">
        <v>118</v>
      </c>
      <c r="E179" s="4"/>
      <c r="F179" s="4"/>
      <c r="G179" s="4"/>
      <c r="H179" s="4"/>
      <c r="I179" s="4"/>
      <c r="J179" s="4"/>
    </row>
    <row r="180" spans="1:10" ht="14.25">
      <c r="A180" s="12"/>
      <c r="C180" s="4"/>
      <c r="D180" s="4"/>
      <c r="E180" s="4"/>
      <c r="F180" s="4"/>
      <c r="G180" s="4"/>
      <c r="H180" s="4"/>
      <c r="I180" s="4"/>
      <c r="J180" s="4"/>
    </row>
    <row r="181" spans="1:10" ht="15" thickBot="1">
      <c r="A181" s="12"/>
      <c r="B181" t="s">
        <v>101</v>
      </c>
      <c r="C181" s="6">
        <f>C177-C179</f>
        <v>52083.33333333333</v>
      </c>
      <c r="D181" s="4"/>
      <c r="E181" s="4"/>
      <c r="F181" s="4"/>
      <c r="G181" s="4"/>
      <c r="H181" s="4"/>
      <c r="I181" s="4"/>
      <c r="J181" s="4"/>
    </row>
    <row r="182" spans="1:10" ht="14.25">
      <c r="A182" s="12"/>
      <c r="C182" s="4"/>
      <c r="D182" s="4"/>
      <c r="E182" s="4"/>
      <c r="F182" s="4"/>
      <c r="G182" s="4"/>
      <c r="H182" s="4"/>
      <c r="I182" s="4"/>
      <c r="J182" s="4"/>
    </row>
    <row r="183" spans="1:10" ht="14.25">
      <c r="A183" s="12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12"/>
      <c r="B184" s="19" t="s">
        <v>119</v>
      </c>
      <c r="C184" s="4"/>
      <c r="D184" s="4"/>
      <c r="E184" s="4"/>
      <c r="F184" s="4"/>
      <c r="G184" s="4"/>
      <c r="H184" s="4"/>
      <c r="I184" s="4"/>
      <c r="J184" s="4"/>
    </row>
    <row r="185" spans="1:10" ht="14.25">
      <c r="A185" s="12"/>
      <c r="C185" s="4"/>
      <c r="E185" s="4"/>
      <c r="F185" s="4"/>
      <c r="G185" s="4"/>
      <c r="H185" s="4"/>
      <c r="I185" s="4"/>
      <c r="J185" s="4"/>
    </row>
    <row r="186" spans="1:10" ht="14.25">
      <c r="A186" s="12"/>
      <c r="B186" t="s">
        <v>117</v>
      </c>
      <c r="C186" s="4">
        <f>250000*4/8</f>
        <v>125000</v>
      </c>
      <c r="D186" s="4" t="s">
        <v>95</v>
      </c>
      <c r="E186" s="4"/>
      <c r="F186" s="4"/>
      <c r="G186" s="4"/>
      <c r="H186" s="4"/>
      <c r="I186" s="4"/>
      <c r="J186" s="4"/>
    </row>
    <row r="187" spans="1:10" ht="14.25">
      <c r="A187" s="12"/>
      <c r="C187" s="4"/>
      <c r="D187" s="4"/>
      <c r="E187" s="4"/>
      <c r="F187" s="4"/>
      <c r="G187" s="4"/>
      <c r="H187" s="4"/>
      <c r="I187" s="4"/>
      <c r="J187" s="4"/>
    </row>
    <row r="188" spans="1:10" ht="14.25">
      <c r="A188" s="12"/>
      <c r="B188" t="s">
        <v>99</v>
      </c>
      <c r="C188" s="4">
        <f>250000*10/36</f>
        <v>69444.44444444444</v>
      </c>
      <c r="D188" s="4" t="s">
        <v>120</v>
      </c>
      <c r="E188" s="4"/>
      <c r="F188" s="4"/>
      <c r="G188" s="4"/>
      <c r="H188" s="4"/>
      <c r="I188" s="4"/>
      <c r="J188" s="4"/>
    </row>
    <row r="189" spans="1:10" ht="14.25">
      <c r="A189" s="12"/>
      <c r="C189" s="4"/>
      <c r="D189" s="4"/>
      <c r="E189" s="4"/>
      <c r="F189" s="4"/>
      <c r="G189" s="4"/>
      <c r="H189" s="4"/>
      <c r="I189" s="4"/>
      <c r="J189" s="4"/>
    </row>
    <row r="190" spans="1:10" ht="15" thickBot="1">
      <c r="A190" s="12"/>
      <c r="B190" t="s">
        <v>101</v>
      </c>
      <c r="C190" s="6">
        <f>C186-C188</f>
        <v>55555.55555555556</v>
      </c>
      <c r="D190" s="4"/>
      <c r="E190" s="4"/>
      <c r="F190" s="4"/>
      <c r="G190" s="4"/>
      <c r="H190" s="4"/>
      <c r="I190" s="4"/>
      <c r="J190" s="4"/>
    </row>
    <row r="191" spans="1:10" ht="14.25">
      <c r="A191" s="12"/>
      <c r="C191" s="4"/>
      <c r="D191" s="4"/>
      <c r="E191" s="4"/>
      <c r="F191" s="4"/>
      <c r="G191" s="4"/>
      <c r="H191" s="4"/>
      <c r="I191" s="4"/>
      <c r="J191" s="4"/>
    </row>
    <row r="192" spans="1:10" ht="14.25">
      <c r="A192" s="12"/>
      <c r="C192" s="4"/>
      <c r="D192" s="4"/>
      <c r="E192" s="4"/>
      <c r="F192" s="4"/>
      <c r="G192" s="4"/>
      <c r="H192" s="4"/>
      <c r="I192" s="4"/>
      <c r="J192" s="4"/>
    </row>
    <row r="193" spans="1:10" ht="14.25">
      <c r="A193" s="12"/>
      <c r="B193" s="20" t="s">
        <v>121</v>
      </c>
      <c r="C193" s="4"/>
      <c r="D193" s="4"/>
      <c r="E193" s="4"/>
      <c r="F193" s="4"/>
      <c r="G193" s="4"/>
      <c r="H193" s="4"/>
      <c r="I193" s="4"/>
      <c r="J193" s="4"/>
    </row>
    <row r="194" spans="1:10" ht="14.25">
      <c r="A194" s="12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12"/>
      <c r="B195" s="1" t="s">
        <v>125</v>
      </c>
      <c r="C195" s="4"/>
      <c r="D195" s="4"/>
      <c r="E195" s="4"/>
      <c r="F195" s="4"/>
      <c r="G195" s="4"/>
      <c r="H195" s="4"/>
      <c r="I195" s="4"/>
      <c r="J195" s="4"/>
    </row>
    <row r="196" spans="1:10" ht="14.25">
      <c r="A196" s="12"/>
      <c r="C196" s="4"/>
      <c r="D196" s="4"/>
      <c r="E196" s="4" t="s">
        <v>128</v>
      </c>
      <c r="F196" s="4"/>
      <c r="G196" s="4"/>
      <c r="H196" s="4"/>
      <c r="I196" s="4"/>
      <c r="J196" s="4"/>
    </row>
    <row r="197" spans="1:10" ht="14.25">
      <c r="A197" s="12"/>
      <c r="B197" t="s">
        <v>126</v>
      </c>
      <c r="C197" s="4">
        <f>C168/6*(0.27+0.26+4*0.25)</f>
        <v>5737.499999999998</v>
      </c>
      <c r="D197" s="4"/>
      <c r="E197" s="4"/>
      <c r="F197" s="4"/>
      <c r="G197" s="4"/>
      <c r="H197" s="4"/>
      <c r="I197" s="4"/>
      <c r="J197" s="4"/>
    </row>
    <row r="198" spans="1:10" ht="14.25">
      <c r="A198" s="12"/>
      <c r="C198" s="4"/>
      <c r="D198" s="4"/>
      <c r="E198" s="4"/>
      <c r="F198" s="4"/>
      <c r="G198" s="4"/>
      <c r="H198" s="4"/>
      <c r="I198" s="4"/>
      <c r="J198" s="4"/>
    </row>
    <row r="199" spans="1:10" ht="14.25">
      <c r="A199" s="12"/>
      <c r="B199" t="s">
        <v>127</v>
      </c>
      <c r="C199" s="4">
        <f>C170*0.25</f>
        <v>10416.666666666666</v>
      </c>
      <c r="D199" s="4"/>
      <c r="E199" s="4" t="s">
        <v>129</v>
      </c>
      <c r="F199" s="4"/>
      <c r="G199" s="4"/>
      <c r="H199" s="4"/>
      <c r="I199" s="4"/>
      <c r="J199" s="4"/>
    </row>
    <row r="200" spans="1:10" ht="14.25">
      <c r="A200" s="12"/>
      <c r="C200" s="4"/>
      <c r="D200" s="4"/>
      <c r="E200" s="4"/>
      <c r="F200" s="4"/>
      <c r="G200" s="4"/>
      <c r="H200" s="4"/>
      <c r="I200" s="4"/>
      <c r="J200" s="4"/>
    </row>
    <row r="201" spans="1:10" ht="15" thickBot="1">
      <c r="A201" s="12"/>
      <c r="B201" t="s">
        <v>6</v>
      </c>
      <c r="C201" s="6">
        <f>SUM(C197:C199)</f>
        <v>16154.166666666664</v>
      </c>
      <c r="D201" s="4"/>
      <c r="E201" s="4"/>
      <c r="F201" s="4"/>
      <c r="G201" s="4"/>
      <c r="H201" s="4"/>
      <c r="I201" s="4"/>
      <c r="J201" s="4"/>
    </row>
    <row r="202" spans="1:10" ht="14.25">
      <c r="A202" s="12"/>
      <c r="C202" s="4"/>
      <c r="D202" s="4"/>
      <c r="E202" s="4"/>
      <c r="F202" s="4"/>
      <c r="G202" s="4"/>
      <c r="H202" s="4"/>
      <c r="I202" s="4"/>
      <c r="J202" s="4"/>
    </row>
    <row r="203" spans="1:10" ht="14.25">
      <c r="A203" s="12"/>
      <c r="C203" s="4"/>
      <c r="D203" s="4"/>
      <c r="E203" s="4"/>
      <c r="F203" s="4"/>
      <c r="G203" s="4"/>
      <c r="H203" s="4"/>
      <c r="I203" s="4"/>
      <c r="J203" s="4"/>
    </row>
    <row r="204" spans="1:10" ht="14.25">
      <c r="A204" s="12"/>
      <c r="C204" s="4"/>
      <c r="D204" s="4"/>
      <c r="E204" s="4"/>
      <c r="F204" s="4"/>
      <c r="G204" s="4"/>
      <c r="H204" s="4"/>
      <c r="I204" s="4"/>
      <c r="J204" s="4"/>
    </row>
    <row r="205" spans="1:10" ht="14.25">
      <c r="A205" s="12" t="s">
        <v>17</v>
      </c>
      <c r="B205" s="3" t="s">
        <v>131</v>
      </c>
      <c r="C205" s="4"/>
      <c r="D205" s="4"/>
      <c r="E205" s="4"/>
      <c r="F205" s="4"/>
      <c r="G205" s="4"/>
      <c r="H205" s="4"/>
      <c r="I205" s="4"/>
      <c r="J205" s="4"/>
    </row>
    <row r="206" spans="1:10" ht="14.25">
      <c r="A206" s="12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12"/>
      <c r="B207" s="19" t="s">
        <v>25</v>
      </c>
      <c r="C207" s="4"/>
      <c r="D207" s="4"/>
      <c r="E207" s="4"/>
      <c r="F207" s="4"/>
      <c r="G207" s="4"/>
      <c r="H207" s="4"/>
      <c r="I207" s="4"/>
      <c r="J207" s="4"/>
    </row>
    <row r="208" spans="3:10" ht="14.25">
      <c r="C208" s="4"/>
      <c r="D208" s="4"/>
      <c r="E208" s="4" t="s">
        <v>132</v>
      </c>
      <c r="F208" s="4"/>
      <c r="G208" s="4"/>
      <c r="H208" s="4"/>
      <c r="I208" s="4"/>
      <c r="J208" s="4"/>
    </row>
    <row r="209" spans="2:10" ht="14.25">
      <c r="B209" t="s">
        <v>98</v>
      </c>
      <c r="C209" s="4">
        <v>150000</v>
      </c>
      <c r="D209" s="4"/>
      <c r="E209" s="4"/>
      <c r="F209" s="4"/>
      <c r="G209" s="4"/>
      <c r="H209" s="4"/>
      <c r="I209" s="4"/>
      <c r="J209" s="4"/>
    </row>
    <row r="210" spans="3:10" ht="14.25">
      <c r="C210" s="4"/>
      <c r="D210" s="4" t="s">
        <v>133</v>
      </c>
      <c r="E210" s="4"/>
      <c r="F210" s="4"/>
      <c r="G210" s="4"/>
      <c r="H210" s="4"/>
      <c r="I210" s="4"/>
      <c r="J210" s="4"/>
    </row>
    <row r="211" spans="2:10" ht="14.25">
      <c r="B211" t="s">
        <v>99</v>
      </c>
      <c r="C211" s="4">
        <v>100000</v>
      </c>
      <c r="D211" s="4"/>
      <c r="E211" s="4"/>
      <c r="F211" s="4"/>
      <c r="G211" s="4"/>
      <c r="H211" s="4"/>
      <c r="I211" s="4"/>
      <c r="J211" s="4"/>
    </row>
    <row r="212" spans="3:10" ht="14.25">
      <c r="C212" s="4"/>
      <c r="D212" s="4"/>
      <c r="E212" s="4"/>
      <c r="F212" s="4"/>
      <c r="G212" s="4"/>
      <c r="H212" s="4"/>
      <c r="I212" s="4"/>
      <c r="J212" s="4"/>
    </row>
    <row r="213" spans="2:10" ht="15" thickBot="1">
      <c r="B213" t="s">
        <v>101</v>
      </c>
      <c r="C213" s="6">
        <f>C209-C211</f>
        <v>50000</v>
      </c>
      <c r="D213" s="4"/>
      <c r="E213" s="4"/>
      <c r="F213" s="4"/>
      <c r="G213" s="4"/>
      <c r="H213" s="4"/>
      <c r="I213" s="4"/>
      <c r="J213" s="4"/>
    </row>
    <row r="214" spans="3:10" ht="14.25">
      <c r="C214" s="4"/>
      <c r="D214" s="4"/>
      <c r="E214" s="4"/>
      <c r="F214" s="4"/>
      <c r="G214" s="4"/>
      <c r="H214" s="4"/>
      <c r="I214" s="4"/>
      <c r="J214" s="4"/>
    </row>
    <row r="215" spans="2:10" ht="14.25">
      <c r="B215" t="s">
        <v>134</v>
      </c>
      <c r="C215" s="4">
        <f>C213*0.2</f>
        <v>10000</v>
      </c>
      <c r="D215" s="4"/>
      <c r="E215" s="4"/>
      <c r="F215" s="4"/>
      <c r="G215" s="4"/>
      <c r="H215" s="4"/>
      <c r="I215" s="4"/>
      <c r="J215" s="4"/>
    </row>
    <row r="216" spans="3:10" ht="14.25">
      <c r="C216" s="4"/>
      <c r="D216" s="4"/>
      <c r="E216" s="4"/>
      <c r="F216" s="4"/>
      <c r="G216" s="4"/>
      <c r="H216" s="4"/>
      <c r="I216" s="4"/>
      <c r="J216" s="4"/>
    </row>
    <row r="217" spans="2:10" ht="15">
      <c r="B217" s="19" t="s">
        <v>135</v>
      </c>
      <c r="C217" s="4"/>
      <c r="D217" s="4"/>
      <c r="E217" s="4"/>
      <c r="F217" s="4"/>
      <c r="G217" s="4"/>
      <c r="H217" s="4"/>
      <c r="I217" s="4"/>
      <c r="J217" s="4"/>
    </row>
    <row r="218" spans="3:10" ht="14.25">
      <c r="C218" s="4" t="s">
        <v>139</v>
      </c>
      <c r="D218" s="4"/>
      <c r="E218" s="4" t="s">
        <v>136</v>
      </c>
      <c r="F218" s="4"/>
      <c r="G218" s="4"/>
      <c r="H218" s="4"/>
      <c r="I218" s="4"/>
      <c r="J218" s="4"/>
    </row>
    <row r="219" spans="2:10" ht="14.25">
      <c r="B219" t="s">
        <v>55</v>
      </c>
      <c r="C219" s="4">
        <f>C209+7500</f>
        <v>157500</v>
      </c>
      <c r="D219" s="4"/>
      <c r="E219" s="4"/>
      <c r="F219" s="4"/>
      <c r="G219" s="4"/>
      <c r="H219" s="4"/>
      <c r="I219" s="4"/>
      <c r="J219" s="4"/>
    </row>
    <row r="220" spans="3:10" ht="14.25">
      <c r="C220" s="4"/>
      <c r="D220" s="4"/>
      <c r="E220" s="4"/>
      <c r="F220" s="4"/>
      <c r="G220" s="4"/>
      <c r="H220" s="4"/>
      <c r="I220" s="4"/>
      <c r="J220" s="4"/>
    </row>
    <row r="221" spans="2:10" ht="14.25">
      <c r="B221" t="s">
        <v>56</v>
      </c>
      <c r="C221" s="4">
        <f>C211</f>
        <v>100000</v>
      </c>
      <c r="D221" s="4"/>
      <c r="E221" s="4"/>
      <c r="F221" s="4"/>
      <c r="G221" s="4"/>
      <c r="H221" s="4"/>
      <c r="I221" s="4"/>
      <c r="J221" s="4"/>
    </row>
    <row r="222" spans="3:10" ht="14.25">
      <c r="C222" s="4"/>
      <c r="D222" s="4"/>
      <c r="E222" s="4"/>
      <c r="F222" s="4"/>
      <c r="G222" s="4"/>
      <c r="H222" s="4"/>
      <c r="I222" s="4"/>
      <c r="J222" s="4"/>
    </row>
    <row r="223" spans="3:10" ht="15" thickBot="1">
      <c r="C223" s="6">
        <f>C219-C221</f>
        <v>57500</v>
      </c>
      <c r="D223" s="4"/>
      <c r="E223" s="4"/>
      <c r="F223" s="4"/>
      <c r="G223" s="4"/>
      <c r="H223" s="4"/>
      <c r="I223" s="4"/>
      <c r="J223" s="4"/>
    </row>
    <row r="224" spans="3:10" ht="14.25">
      <c r="C224" s="4"/>
      <c r="D224" s="4"/>
      <c r="E224" s="4"/>
      <c r="F224" s="4"/>
      <c r="G224" s="4"/>
      <c r="H224" s="4"/>
      <c r="I224" s="4"/>
      <c r="J224" s="4"/>
    </row>
    <row r="225" spans="2:10" ht="14.25">
      <c r="B225" t="s">
        <v>134</v>
      </c>
      <c r="C225" s="4">
        <f>C223*0.2</f>
        <v>11500</v>
      </c>
      <c r="D225" s="4"/>
      <c r="E225" s="4"/>
      <c r="F225" s="4"/>
      <c r="G225" s="4"/>
      <c r="H225" s="4"/>
      <c r="I225" s="4"/>
      <c r="J225" s="4"/>
    </row>
    <row r="226" spans="3:10" ht="14.25">
      <c r="C226" s="4"/>
      <c r="D226" s="4"/>
      <c r="E226" s="4"/>
      <c r="F226" s="4"/>
      <c r="G226" s="4"/>
      <c r="H226" s="4"/>
      <c r="I226" s="4"/>
      <c r="J226" s="4"/>
    </row>
    <row r="227" spans="2:3" ht="14.25">
      <c r="B227" t="s">
        <v>140</v>
      </c>
      <c r="C227" s="14">
        <f>C225-C215</f>
        <v>1500</v>
      </c>
    </row>
    <row r="228" spans="2:3" ht="14.25">
      <c r="B228" t="s">
        <v>141</v>
      </c>
      <c r="C228" s="14">
        <f>C227</f>
        <v>1500</v>
      </c>
    </row>
    <row r="231" ht="15">
      <c r="B231" s="19" t="s">
        <v>142</v>
      </c>
    </row>
    <row r="233" spans="2:4" ht="14.25">
      <c r="B233" t="s">
        <v>60</v>
      </c>
      <c r="C233" s="4">
        <f>20000*8</f>
        <v>160000</v>
      </c>
      <c r="D233" t="s">
        <v>143</v>
      </c>
    </row>
    <row r="234" spans="2:4" ht="14.25">
      <c r="B234" t="s">
        <v>144</v>
      </c>
      <c r="C234" s="4">
        <f>5000*8</f>
        <v>40000</v>
      </c>
      <c r="D234" t="s">
        <v>145</v>
      </c>
    </row>
    <row r="235" spans="2:3" ht="14.25">
      <c r="B235" t="s">
        <v>147</v>
      </c>
      <c r="C235" s="4">
        <f>C219</f>
        <v>157500</v>
      </c>
    </row>
    <row r="236" spans="2:3" ht="14.25">
      <c r="B236" t="s">
        <v>146</v>
      </c>
      <c r="C236" s="4">
        <f>C233+C234-C235</f>
        <v>42500</v>
      </c>
    </row>
    <row r="237" ht="14.25">
      <c r="C237" s="4"/>
    </row>
    <row r="238" spans="2:3" ht="14.25">
      <c r="B238" t="s">
        <v>18</v>
      </c>
      <c r="C238" s="4">
        <f>C225</f>
        <v>11500</v>
      </c>
    </row>
    <row r="239" spans="2:3" ht="14.25">
      <c r="B239" t="s">
        <v>19</v>
      </c>
      <c r="C239" s="4">
        <f>C238</f>
        <v>11500</v>
      </c>
    </row>
    <row r="240" ht="14.25">
      <c r="C240" s="4"/>
    </row>
    <row r="242" ht="15">
      <c r="B242" s="19" t="s">
        <v>148</v>
      </c>
    </row>
    <row r="244" spans="2:3" ht="14.25">
      <c r="B244" t="s">
        <v>149</v>
      </c>
      <c r="C244" s="14">
        <f>C233</f>
        <v>160000</v>
      </c>
    </row>
    <row r="245" ht="14.25">
      <c r="D245" t="s">
        <v>151</v>
      </c>
    </row>
    <row r="246" spans="2:3" ht="14.25">
      <c r="B246" t="s">
        <v>150</v>
      </c>
      <c r="C246" s="14">
        <f>-C211*0.2/0.25</f>
        <v>-80000</v>
      </c>
    </row>
    <row r="248" spans="2:3" ht="15" thickBot="1">
      <c r="B248" t="s">
        <v>152</v>
      </c>
      <c r="C248" s="6">
        <f>C244+C246</f>
        <v>80000</v>
      </c>
    </row>
    <row r="251" spans="2:3" ht="15">
      <c r="B251" s="19" t="s">
        <v>153</v>
      </c>
      <c r="C251" s="4"/>
    </row>
    <row r="252" ht="14.25">
      <c r="C252" s="4"/>
    </row>
    <row r="253" spans="2:3" ht="14.25">
      <c r="B253" t="s">
        <v>55</v>
      </c>
      <c r="C253" s="4">
        <f>C234</f>
        <v>40000</v>
      </c>
    </row>
    <row r="254" spans="3:4" ht="14.25">
      <c r="C254" s="4"/>
      <c r="D254" t="s">
        <v>154</v>
      </c>
    </row>
    <row r="255" spans="2:3" ht="14.25">
      <c r="B255" t="s">
        <v>56</v>
      </c>
      <c r="C255" s="4">
        <f>C211+C246</f>
        <v>20000</v>
      </c>
    </row>
    <row r="256" ht="14.25">
      <c r="C256" s="4"/>
    </row>
    <row r="257" ht="15" thickBot="1">
      <c r="C257" s="6">
        <f>C253-C255</f>
        <v>20000</v>
      </c>
    </row>
    <row r="258" ht="14.25">
      <c r="C258" s="4"/>
    </row>
    <row r="259" spans="2:3" ht="14.25">
      <c r="B259" t="s">
        <v>134</v>
      </c>
      <c r="C259" s="4">
        <f>C257*0.2</f>
        <v>4000</v>
      </c>
    </row>
    <row r="260" ht="14.25">
      <c r="C260" s="4"/>
    </row>
    <row r="261" spans="2:3" ht="14.25">
      <c r="B261" t="s">
        <v>140</v>
      </c>
      <c r="C261" s="14">
        <f>C259-C249</f>
        <v>4000</v>
      </c>
    </row>
    <row r="262" spans="2:3" ht="14.25">
      <c r="B262" t="s">
        <v>141</v>
      </c>
      <c r="C262" s="14">
        <f>C261</f>
        <v>4000</v>
      </c>
    </row>
    <row r="265" spans="2:4" ht="15">
      <c r="B265" s="19" t="s">
        <v>7</v>
      </c>
      <c r="C265" s="4"/>
      <c r="D265" s="4"/>
    </row>
    <row r="266" spans="3:4" ht="14.25">
      <c r="C266" s="4"/>
      <c r="D266" s="4"/>
    </row>
    <row r="267" spans="2:4" ht="14.25">
      <c r="B267" t="s">
        <v>44</v>
      </c>
      <c r="C267" s="4">
        <f>5000*10</f>
        <v>50000</v>
      </c>
      <c r="D267" s="4" t="s">
        <v>58</v>
      </c>
    </row>
    <row r="268" spans="3:4" ht="14.25">
      <c r="C268" s="4"/>
      <c r="D268" s="4"/>
    </row>
    <row r="269" spans="2:4" ht="14.25">
      <c r="B269" t="s">
        <v>98</v>
      </c>
      <c r="C269" s="4">
        <f>C253</f>
        <v>40000</v>
      </c>
      <c r="D269" s="4"/>
    </row>
    <row r="270" spans="3:4" ht="14.25">
      <c r="C270" s="4"/>
      <c r="D270" s="4"/>
    </row>
    <row r="271" spans="2:4" ht="15" thickBot="1">
      <c r="B271" t="s">
        <v>101</v>
      </c>
      <c r="C271" s="6">
        <f>C267-C269</f>
        <v>10000</v>
      </c>
      <c r="D271" s="4"/>
    </row>
    <row r="272" spans="3:4" ht="14.25">
      <c r="C272" s="4"/>
      <c r="D272" s="4"/>
    </row>
    <row r="273" spans="2:4" ht="14.25">
      <c r="B273" t="s">
        <v>134</v>
      </c>
      <c r="C273" s="4">
        <f>C271*0.2</f>
        <v>2000</v>
      </c>
      <c r="D273" s="4"/>
    </row>
    <row r="275" spans="2:3" ht="14.25">
      <c r="B275" t="s">
        <v>144</v>
      </c>
      <c r="C275" s="14">
        <f>C271</f>
        <v>10000</v>
      </c>
    </row>
    <row r="276" spans="2:3" ht="14.25">
      <c r="B276" t="s">
        <v>59</v>
      </c>
      <c r="C276" s="14">
        <f>C275-C277</f>
        <v>8000</v>
      </c>
    </row>
    <row r="277" spans="2:3" ht="14.25">
      <c r="B277" t="s">
        <v>49</v>
      </c>
      <c r="C277" s="14">
        <f>C273</f>
        <v>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1">
      <selection activeCell="C22" sqref="C22"/>
    </sheetView>
  </sheetViews>
  <sheetFormatPr defaultColWidth="9.140625" defaultRowHeight="15"/>
  <cols>
    <col min="2" max="2" width="22.421875" style="0" customWidth="1"/>
    <col min="3" max="3" width="11.7109375" style="0" bestFit="1" customWidth="1"/>
    <col min="4" max="4" width="13.8515625" style="0" customWidth="1"/>
    <col min="5" max="5" width="16.7109375" style="0" customWidth="1"/>
    <col min="6" max="6" width="13.8515625" style="0" customWidth="1"/>
    <col min="7" max="7" width="12.421875" style="0" customWidth="1"/>
    <col min="9" max="9" width="9.421875" style="0" bestFit="1" customWidth="1"/>
  </cols>
  <sheetData>
    <row r="1" spans="2:3" ht="15">
      <c r="B1" s="2"/>
      <c r="C1" s="10"/>
    </row>
    <row r="3" spans="1:3" ht="15">
      <c r="A3" s="2" t="s">
        <v>155</v>
      </c>
      <c r="B3" s="2"/>
      <c r="C3" s="10"/>
    </row>
    <row r="4" spans="2:4" ht="15">
      <c r="B4" s="2"/>
      <c r="C4" s="10"/>
      <c r="D4" t="s">
        <v>170</v>
      </c>
    </row>
    <row r="5" spans="2:3" ht="14.25">
      <c r="B5" s="9" t="s">
        <v>4</v>
      </c>
      <c r="C5" s="10">
        <f>'נדרש 1+2'!D50*0.3+'נדרש 1+2'!C248*0.2-10000*0.25</f>
        <v>144845.23809523808</v>
      </c>
    </row>
    <row r="6" spans="2:3" ht="14.25">
      <c r="B6" s="9"/>
      <c r="C6" s="10"/>
    </row>
    <row r="7" spans="2:3" ht="14.25">
      <c r="B7" s="21" t="s">
        <v>5</v>
      </c>
      <c r="C7" s="10"/>
    </row>
    <row r="8" spans="2:4" ht="14.25">
      <c r="B8" s="9" t="s">
        <v>34</v>
      </c>
      <c r="C8" s="10">
        <f>-C32</f>
        <v>-1045.238095238089</v>
      </c>
      <c r="D8" t="s">
        <v>61</v>
      </c>
    </row>
    <row r="9" spans="2:3" ht="14.25">
      <c r="B9" s="9" t="s">
        <v>35</v>
      </c>
      <c r="C9" s="10">
        <f>C10-C8</f>
        <v>-1213.3333333333421</v>
      </c>
    </row>
    <row r="10" spans="2:3" ht="14.25">
      <c r="B10" s="9"/>
      <c r="C10" s="22">
        <f>-'נדרש 1+2'!D70</f>
        <v>-2258.571428571431</v>
      </c>
    </row>
    <row r="11" spans="2:3" ht="14.25">
      <c r="B11" s="9"/>
      <c r="C11" s="10"/>
    </row>
    <row r="12" spans="2:3" ht="14.25">
      <c r="B12" s="9" t="s">
        <v>50</v>
      </c>
      <c r="C12" s="10">
        <v>10000</v>
      </c>
    </row>
    <row r="13" spans="2:3" ht="14.25">
      <c r="B13" s="9"/>
      <c r="C13" s="10"/>
    </row>
    <row r="14" spans="2:3" ht="15" thickBot="1">
      <c r="B14" s="9" t="s">
        <v>6</v>
      </c>
      <c r="C14" s="11">
        <f>C5+C10+C12</f>
        <v>152586.66666666666</v>
      </c>
    </row>
    <row r="18" spans="1:2" ht="14.25">
      <c r="A18" s="12" t="s">
        <v>17</v>
      </c>
      <c r="B18" s="3" t="s">
        <v>162</v>
      </c>
    </row>
    <row r="20" spans="2:3" ht="14.25">
      <c r="B20" t="s">
        <v>156</v>
      </c>
      <c r="C20" s="4">
        <f>'נדרש 1+2'!C11+'נדרש 1+2'!C15+'נדרש 1+2'!C17+'נדרש 1+2'!C19</f>
        <v>142428.57142857142</v>
      </c>
    </row>
    <row r="21" ht="14.25">
      <c r="C21" s="4"/>
    </row>
    <row r="22" spans="2:3" ht="14.25">
      <c r="B22" t="s">
        <v>157</v>
      </c>
      <c r="C22" s="4">
        <f>'נדרש 1+2'!C29+'נדרש 1+2'!C33+'נדרש 1+2'!C40+'נדרש 1+2'!C42</f>
        <v>-140611.11111111112</v>
      </c>
    </row>
    <row r="24" spans="3:4" ht="15" thickBot="1">
      <c r="C24" s="6">
        <f>SUM(C20:C22)</f>
        <v>1817.4603174602962</v>
      </c>
      <c r="D24" s="14"/>
    </row>
    <row r="26" spans="2:3" ht="14.25">
      <c r="B26" t="s">
        <v>158</v>
      </c>
      <c r="C26" s="4">
        <f>C24*0.3</f>
        <v>545.2380952380888</v>
      </c>
    </row>
    <row r="28" spans="2:4" ht="14.25">
      <c r="B28" t="s">
        <v>159</v>
      </c>
      <c r="C28" s="4">
        <f>'נדרש 1+2'!D62</f>
        <v>-5500</v>
      </c>
      <c r="D28" t="s">
        <v>160</v>
      </c>
    </row>
    <row r="29" ht="14.25">
      <c r="C29" s="4"/>
    </row>
    <row r="30" spans="2:4" ht="14.25">
      <c r="B30" t="s">
        <v>161</v>
      </c>
      <c r="C30" s="4">
        <f>'נדרש 1+2'!D68</f>
        <v>6000</v>
      </c>
      <c r="D30" t="s">
        <v>160</v>
      </c>
    </row>
    <row r="32" ht="15" thickBot="1">
      <c r="C32" s="6">
        <f>SUM(C26:C30)</f>
        <v>1045.238095238089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rightToLeft="1" zoomScalePageLayoutView="0" workbookViewId="0" topLeftCell="A1">
      <selection activeCell="C3" sqref="C3"/>
    </sheetView>
  </sheetViews>
  <sheetFormatPr defaultColWidth="9.140625" defaultRowHeight="15"/>
  <cols>
    <col min="2" max="2" width="29.8515625" style="0" customWidth="1"/>
    <col min="3" max="3" width="18.8515625" style="0" bestFit="1" customWidth="1"/>
    <col min="4" max="4" width="9.8515625" style="0" bestFit="1" customWidth="1"/>
  </cols>
  <sheetData>
    <row r="1" spans="1:3" ht="15">
      <c r="A1" s="2" t="s">
        <v>74</v>
      </c>
      <c r="B1" s="2"/>
      <c r="C1" s="8"/>
    </row>
    <row r="2" spans="1:3" ht="15">
      <c r="A2" s="2"/>
      <c r="B2" s="2"/>
      <c r="C2" s="8"/>
    </row>
    <row r="3" spans="1:3" ht="15">
      <c r="A3" s="2"/>
      <c r="B3" s="2" t="s">
        <v>137</v>
      </c>
      <c r="C3" s="8">
        <f>'נדרש 1+2'!D7</f>
        <v>500000</v>
      </c>
    </row>
    <row r="4" spans="1:3" ht="15">
      <c r="A4" s="2"/>
      <c r="B4" s="2"/>
      <c r="C4" s="8"/>
    </row>
    <row r="5" spans="1:3" ht="15">
      <c r="A5" s="2"/>
      <c r="B5" s="2" t="s">
        <v>62</v>
      </c>
      <c r="C5" s="24">
        <f>C3*0.3</f>
        <v>150000</v>
      </c>
    </row>
    <row r="6" ht="14.25">
      <c r="C6" s="23"/>
    </row>
    <row r="7" spans="2:3" ht="14.25">
      <c r="B7" t="s">
        <v>50</v>
      </c>
      <c r="C7" s="25">
        <f>'נדרש 3'!C12</f>
        <v>10000</v>
      </c>
    </row>
    <row r="8" ht="14.25">
      <c r="C8" s="25"/>
    </row>
    <row r="9" spans="2:3" ht="14.25">
      <c r="B9" t="s">
        <v>35</v>
      </c>
      <c r="C9" s="25">
        <f>'נדרש 3'!C9</f>
        <v>-1213.3333333333421</v>
      </c>
    </row>
    <row r="10" ht="14.25">
      <c r="C10" s="25" t="s">
        <v>64</v>
      </c>
    </row>
    <row r="11" spans="2:3" ht="14.25">
      <c r="B11" t="s">
        <v>163</v>
      </c>
      <c r="C11" s="25">
        <f>11000*0.3</f>
        <v>3300</v>
      </c>
    </row>
    <row r="12" ht="14.25">
      <c r="C12" s="25" t="s">
        <v>65</v>
      </c>
    </row>
    <row r="13" spans="2:3" ht="14.25">
      <c r="B13" t="s">
        <v>164</v>
      </c>
      <c r="C13" s="25">
        <f>-7500*0.3</f>
        <v>-2250</v>
      </c>
    </row>
    <row r="14" ht="14.25">
      <c r="C14" s="25" t="s">
        <v>66</v>
      </c>
    </row>
    <row r="15" spans="2:3" ht="14.25">
      <c r="B15" t="s">
        <v>165</v>
      </c>
      <c r="C15" s="25">
        <f>10000*0.05</f>
        <v>500</v>
      </c>
    </row>
    <row r="16" spans="3:15" ht="14.25">
      <c r="C16" s="25" t="s">
        <v>167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4.25">
      <c r="B17" t="s">
        <v>67</v>
      </c>
      <c r="C17" s="25">
        <f>-27500*0.1</f>
        <v>-2750</v>
      </c>
      <c r="G17" s="23"/>
      <c r="H17" s="23"/>
      <c r="I17" s="23"/>
      <c r="J17" s="23"/>
      <c r="K17" s="23"/>
      <c r="L17" s="23"/>
      <c r="M17" s="23"/>
      <c r="N17" s="23"/>
      <c r="O17" s="23"/>
    </row>
    <row r="18" spans="3:15" ht="14.25">
      <c r="C18" s="25" t="s">
        <v>166</v>
      </c>
      <c r="G18" s="23"/>
      <c r="H18" s="23"/>
      <c r="I18" s="23"/>
      <c r="J18" s="23"/>
      <c r="K18" s="23"/>
      <c r="L18" s="23"/>
      <c r="M18" s="23"/>
      <c r="N18" s="23"/>
      <c r="O18" s="23"/>
    </row>
    <row r="19" spans="2:15" ht="14.25">
      <c r="B19" t="s">
        <v>68</v>
      </c>
      <c r="C19" s="25">
        <f>-50000*0.1</f>
        <v>-5000</v>
      </c>
      <c r="G19" s="23"/>
      <c r="H19" s="23"/>
      <c r="I19" s="23"/>
      <c r="J19" s="23"/>
      <c r="K19" s="23"/>
      <c r="L19" s="23"/>
      <c r="M19" s="23"/>
      <c r="N19" s="23"/>
      <c r="O19" s="23"/>
    </row>
    <row r="20" spans="3:15" ht="14.25">
      <c r="C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7:15" ht="14.25">
      <c r="G21" s="23"/>
      <c r="H21" s="23"/>
      <c r="I21" s="23"/>
      <c r="J21" s="23"/>
      <c r="K21" s="23"/>
      <c r="L21" s="23"/>
      <c r="M21" s="23"/>
      <c r="N21" s="23"/>
      <c r="O21" s="23"/>
    </row>
    <row r="22" spans="2:15" ht="15.75" thickBot="1">
      <c r="B22" s="2" t="s">
        <v>63</v>
      </c>
      <c r="C22" s="7">
        <f>'נדרש 3'!C14</f>
        <v>152586.66666666666</v>
      </c>
      <c r="G22" s="23"/>
      <c r="H22" s="23"/>
      <c r="I22" s="23"/>
      <c r="J22" s="23"/>
      <c r="K22" s="23"/>
      <c r="L22" s="23"/>
      <c r="M22" s="23"/>
      <c r="N22" s="23"/>
      <c r="O22" s="23"/>
    </row>
    <row r="23" spans="7:15" ht="14.25">
      <c r="G23" s="23"/>
      <c r="H23" s="23"/>
      <c r="I23" s="23"/>
      <c r="J23" s="23"/>
      <c r="K23" s="23"/>
      <c r="L23" s="23"/>
      <c r="M23" s="23"/>
      <c r="N23" s="23"/>
      <c r="O23" s="23"/>
    </row>
    <row r="24" spans="2:15" ht="14.25">
      <c r="B24" t="s">
        <v>69</v>
      </c>
      <c r="C24" s="14">
        <f>SUM(C5:C19)-C22</f>
        <v>0</v>
      </c>
      <c r="G24" s="23"/>
      <c r="H24" s="23"/>
      <c r="I24" s="23"/>
      <c r="J24" s="23"/>
      <c r="K24" s="23"/>
      <c r="L24" s="23"/>
      <c r="M24" s="23"/>
      <c r="N24" s="23"/>
      <c r="O24" s="23"/>
    </row>
    <row r="25" spans="7:15" ht="14.25">
      <c r="G25" s="23"/>
      <c r="H25" s="23"/>
      <c r="I25" s="23"/>
      <c r="J25" s="23"/>
      <c r="K25" s="23"/>
      <c r="L25" s="23"/>
      <c r="M25" s="23"/>
      <c r="N25" s="23"/>
      <c r="O25" s="23"/>
    </row>
    <row r="26" spans="7:15" ht="14.25">
      <c r="G26" s="23"/>
      <c r="H26" s="23"/>
      <c r="I26" s="23"/>
      <c r="J26" s="23"/>
      <c r="K26" s="23"/>
      <c r="L26" s="23"/>
      <c r="M26" s="23"/>
      <c r="N26" s="23"/>
      <c r="O26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rightToLeft="1" zoomScalePageLayoutView="0" workbookViewId="0" topLeftCell="A1">
      <selection activeCell="F3" sqref="F3"/>
    </sheetView>
  </sheetViews>
  <sheetFormatPr defaultColWidth="9.140625" defaultRowHeight="15"/>
  <cols>
    <col min="2" max="2" width="11.28125" style="0" customWidth="1"/>
    <col min="3" max="3" width="11.421875" style="0" bestFit="1" customWidth="1"/>
    <col min="4" max="4" width="9.421875" style="0" bestFit="1" customWidth="1"/>
    <col min="5" max="5" width="9.8515625" style="0" customWidth="1"/>
    <col min="6" max="6" width="9.421875" style="0" bestFit="1" customWidth="1"/>
    <col min="7" max="7" width="10.8515625" style="0" bestFit="1" customWidth="1"/>
    <col min="8" max="8" width="9.421875" style="0" bestFit="1" customWidth="1"/>
    <col min="9" max="9" width="10.8515625" style="0" bestFit="1" customWidth="1"/>
    <col min="13" max="13" width="10.8515625" style="0" bestFit="1" customWidth="1"/>
  </cols>
  <sheetData>
    <row r="1" ht="15">
      <c r="A1" s="1" t="s">
        <v>171</v>
      </c>
    </row>
    <row r="2" ht="15">
      <c r="B2" s="1" t="s">
        <v>172</v>
      </c>
    </row>
    <row r="3" ht="15">
      <c r="C3" s="1" t="s">
        <v>173</v>
      </c>
    </row>
    <row r="5" spans="2:3" ht="14.25">
      <c r="B5" t="s">
        <v>174</v>
      </c>
      <c r="C5" s="26">
        <f>C36</f>
        <v>319000</v>
      </c>
    </row>
    <row r="6" spans="2:3" ht="14.25">
      <c r="B6" t="s">
        <v>175</v>
      </c>
      <c r="C6" s="26">
        <f>C57*25%</f>
        <v>-3000</v>
      </c>
    </row>
    <row r="7" spans="2:3" ht="14.25">
      <c r="B7" t="s">
        <v>176</v>
      </c>
      <c r="C7" s="26">
        <f>D68</f>
        <v>2500</v>
      </c>
    </row>
    <row r="8" spans="2:3" ht="14.25">
      <c r="B8" t="s">
        <v>177</v>
      </c>
      <c r="C8" s="26">
        <f>D50</f>
        <v>-1250.0000000000002</v>
      </c>
    </row>
    <row r="9" spans="2:3" ht="14.25">
      <c r="B9" t="s">
        <v>178</v>
      </c>
      <c r="C9" s="26">
        <f>C77</f>
        <v>-843.75</v>
      </c>
    </row>
    <row r="10" spans="2:6" ht="14.25">
      <c r="B10" t="s">
        <v>179</v>
      </c>
      <c r="C10" s="27">
        <f>-1305624*25%</f>
        <v>-326406</v>
      </c>
      <c r="F10" t="s">
        <v>180</v>
      </c>
    </row>
    <row r="11" spans="2:16" ht="14.25">
      <c r="B11" t="s">
        <v>181</v>
      </c>
      <c r="C11" s="26">
        <f>SUM(C5:C10)</f>
        <v>-9999.75</v>
      </c>
      <c r="H11" s="28" t="s">
        <v>182</v>
      </c>
      <c r="I11" s="29"/>
      <c r="J11" s="29"/>
      <c r="K11" s="29"/>
      <c r="L11" s="29"/>
      <c r="M11" s="29"/>
      <c r="N11" s="29"/>
      <c r="O11" s="29"/>
      <c r="P11" s="30"/>
    </row>
    <row r="12" spans="2:3" ht="14.25">
      <c r="B12" t="s">
        <v>177</v>
      </c>
      <c r="C12" s="26">
        <f>F50</f>
        <v>3516.666666666667</v>
      </c>
    </row>
    <row r="13" spans="2:16" ht="14.25">
      <c r="B13" t="s">
        <v>175</v>
      </c>
      <c r="C13" s="26">
        <f>C59*25%</f>
        <v>-3000</v>
      </c>
      <c r="H13" s="31" t="s">
        <v>183</v>
      </c>
      <c r="I13" s="32"/>
      <c r="J13" s="32"/>
      <c r="K13" s="32"/>
      <c r="L13" s="32"/>
      <c r="M13" s="32"/>
      <c r="N13" s="32"/>
      <c r="O13" s="32"/>
      <c r="P13" s="33"/>
    </row>
    <row r="14" spans="2:16" ht="14.25">
      <c r="B14" t="s">
        <v>178</v>
      </c>
      <c r="C14" s="26">
        <f>C78</f>
        <v>-1721.25</v>
      </c>
      <c r="H14" s="34" t="s">
        <v>184</v>
      </c>
      <c r="I14" s="16"/>
      <c r="J14" s="16"/>
      <c r="K14" s="16"/>
      <c r="L14" s="16"/>
      <c r="M14" s="16"/>
      <c r="N14" s="16"/>
      <c r="O14" s="16"/>
      <c r="P14" s="35"/>
    </row>
    <row r="15" spans="2:16" ht="14.25">
      <c r="B15" t="s">
        <v>179</v>
      </c>
      <c r="C15" s="27">
        <f>-((C14+C13+C12+C11)+22000)</f>
        <v>-10795.666666666668</v>
      </c>
      <c r="D15" s="36" t="s">
        <v>185</v>
      </c>
      <c r="H15" s="34"/>
      <c r="I15" s="16"/>
      <c r="J15" s="16"/>
      <c r="K15" s="15" t="s">
        <v>186</v>
      </c>
      <c r="L15" s="16"/>
      <c r="M15" s="16"/>
      <c r="N15" s="16"/>
      <c r="O15" s="16"/>
      <c r="P15" s="35"/>
    </row>
    <row r="16" spans="2:16" ht="14.25">
      <c r="B16" t="s">
        <v>181</v>
      </c>
      <c r="C16" s="26">
        <v>-22000</v>
      </c>
      <c r="H16" s="34"/>
      <c r="I16" s="16"/>
      <c r="J16" s="16"/>
      <c r="K16" s="16"/>
      <c r="L16" s="16"/>
      <c r="M16" s="16"/>
      <c r="N16" s="16"/>
      <c r="O16" s="16"/>
      <c r="P16" s="35"/>
    </row>
    <row r="17" spans="2:16" ht="14.25">
      <c r="B17" t="s">
        <v>177</v>
      </c>
      <c r="C17" s="26">
        <f>H50</f>
        <v>-1266.666666666667</v>
      </c>
      <c r="H17" s="34"/>
      <c r="I17" s="16"/>
      <c r="J17" s="16"/>
      <c r="K17" s="16" t="s">
        <v>187</v>
      </c>
      <c r="L17" s="16"/>
      <c r="M17" s="101">
        <f>443180*25%</f>
        <v>110795</v>
      </c>
      <c r="N17" s="16"/>
      <c r="O17" s="16"/>
      <c r="P17" s="35" t="s">
        <v>188</v>
      </c>
    </row>
    <row r="18" spans="2:16" ht="14.25">
      <c r="B18" t="s">
        <v>175</v>
      </c>
      <c r="C18" s="26">
        <f>25%*C61</f>
        <v>1000</v>
      </c>
      <c r="H18" s="34"/>
      <c r="I18" s="16"/>
      <c r="J18" s="16"/>
      <c r="K18" s="16" t="s">
        <v>189</v>
      </c>
      <c r="L18" s="16"/>
      <c r="M18" s="37">
        <f>C15</f>
        <v>-10795.666666666668</v>
      </c>
      <c r="N18" s="16"/>
      <c r="O18" s="16"/>
      <c r="P18" s="35"/>
    </row>
    <row r="19" spans="2:16" ht="14.25">
      <c r="B19" t="s">
        <v>178</v>
      </c>
      <c r="C19" s="26">
        <f>C80</f>
        <v>-855</v>
      </c>
      <c r="H19" s="38"/>
      <c r="I19" s="39"/>
      <c r="J19" s="39"/>
      <c r="K19" s="39" t="s">
        <v>190</v>
      </c>
      <c r="L19" s="39"/>
      <c r="M19" s="37">
        <f>M18+M17</f>
        <v>99999.33333333333</v>
      </c>
      <c r="N19" s="39"/>
      <c r="O19" s="39"/>
      <c r="P19" s="40"/>
    </row>
    <row r="20" spans="2:3" ht="14.25">
      <c r="B20" t="s">
        <v>176</v>
      </c>
      <c r="C20" s="26">
        <f>D69</f>
        <v>-2000</v>
      </c>
    </row>
    <row r="21" spans="2:16" ht="14.25">
      <c r="B21" t="s">
        <v>191</v>
      </c>
      <c r="C21" s="27">
        <f>J25</f>
        <v>217371.6666666667</v>
      </c>
      <c r="H21" s="31" t="s">
        <v>192</v>
      </c>
      <c r="I21" s="32"/>
      <c r="J21" s="32"/>
      <c r="K21" s="32"/>
      <c r="L21" s="32"/>
      <c r="M21" s="32"/>
      <c r="N21" s="32"/>
      <c r="O21" s="32"/>
      <c r="P21" s="33"/>
    </row>
    <row r="22" spans="3:16" ht="14.25">
      <c r="C22" s="26">
        <f>SUM(C16:C21)</f>
        <v>192250.00000000003</v>
      </c>
      <c r="H22" s="34"/>
      <c r="I22" s="16"/>
      <c r="J22" s="16"/>
      <c r="K22" s="16"/>
      <c r="L22" s="16"/>
      <c r="M22" s="16"/>
      <c r="N22" s="16"/>
      <c r="O22" s="16"/>
      <c r="P22" s="35"/>
    </row>
    <row r="23" spans="3:16" ht="14.25">
      <c r="C23" s="26"/>
      <c r="H23" s="34" t="s">
        <v>193</v>
      </c>
      <c r="I23" s="16"/>
      <c r="J23" s="16">
        <f>1269484*25%</f>
        <v>317371</v>
      </c>
      <c r="K23" s="16"/>
      <c r="L23" s="16"/>
      <c r="M23" s="16" t="s">
        <v>194</v>
      </c>
      <c r="N23" s="16"/>
      <c r="O23" s="16"/>
      <c r="P23" s="35"/>
    </row>
    <row r="24" spans="3:16" ht="14.25">
      <c r="C24" s="26"/>
      <c r="H24" s="34" t="s">
        <v>195</v>
      </c>
      <c r="I24" s="16"/>
      <c r="J24" s="37">
        <f>-M19</f>
        <v>-99999.33333333333</v>
      </c>
      <c r="K24" s="16"/>
      <c r="L24" s="16"/>
      <c r="M24" s="16"/>
      <c r="N24" s="16"/>
      <c r="O24" s="16"/>
      <c r="P24" s="35"/>
    </row>
    <row r="25" spans="3:16" ht="14.25">
      <c r="C25" s="26"/>
      <c r="H25" s="41" t="s">
        <v>196</v>
      </c>
      <c r="I25" s="39"/>
      <c r="J25" s="37">
        <f>J23+J24</f>
        <v>217371.6666666667</v>
      </c>
      <c r="K25" s="39"/>
      <c r="L25" s="39"/>
      <c r="M25" s="39"/>
      <c r="N25" s="39"/>
      <c r="O25" s="39"/>
      <c r="P25" s="40"/>
    </row>
    <row r="26" spans="3:16" ht="14.25">
      <c r="C26" s="26"/>
      <c r="H26" s="16"/>
      <c r="I26" s="16"/>
      <c r="J26" s="16"/>
      <c r="K26" s="16"/>
      <c r="L26" s="16"/>
      <c r="M26" s="16"/>
      <c r="N26" s="16"/>
      <c r="O26" s="16"/>
      <c r="P26" s="16"/>
    </row>
    <row r="27" spans="3:16" ht="14.25">
      <c r="C27" s="26"/>
      <c r="H27" s="16"/>
      <c r="I27" s="16"/>
      <c r="J27" s="16"/>
      <c r="K27" s="16"/>
      <c r="L27" s="16"/>
      <c r="M27" s="16"/>
      <c r="N27" s="16"/>
      <c r="O27" s="16"/>
      <c r="P27" s="16"/>
    </row>
    <row r="28" ht="14.25">
      <c r="C28" s="26"/>
    </row>
    <row r="29" ht="14.25">
      <c r="C29" s="26"/>
    </row>
    <row r="30" ht="14.25">
      <c r="C30" s="26"/>
    </row>
    <row r="32" ht="15">
      <c r="B32" s="1" t="s">
        <v>197</v>
      </c>
    </row>
    <row r="33" spans="4:8" ht="14.25">
      <c r="D33" s="42" t="s">
        <v>198</v>
      </c>
      <c r="E33" s="42" t="s">
        <v>199</v>
      </c>
      <c r="F33" s="42" t="s">
        <v>200</v>
      </c>
      <c r="G33" s="42" t="s">
        <v>201</v>
      </c>
      <c r="H33" s="42" t="s">
        <v>202</v>
      </c>
    </row>
    <row r="34" ht="14.25">
      <c r="B34" s="3" t="s">
        <v>203</v>
      </c>
    </row>
    <row r="36" spans="2:8" ht="14.25">
      <c r="B36" t="s">
        <v>204</v>
      </c>
      <c r="C36" s="26">
        <f>300000+70000-56000-10000+15000</f>
        <v>319000</v>
      </c>
      <c r="H36" t="s">
        <v>205</v>
      </c>
    </row>
    <row r="37" spans="2:8" ht="14.25">
      <c r="B37" t="s">
        <v>206</v>
      </c>
      <c r="C37" s="27">
        <f>680000*25%</f>
        <v>170000</v>
      </c>
      <c r="H37" t="s">
        <v>207</v>
      </c>
    </row>
    <row r="38" ht="14.25">
      <c r="C38" s="26">
        <f>C36-C37</f>
        <v>149000</v>
      </c>
    </row>
    <row r="40" ht="14.25">
      <c r="B40" s="3" t="s">
        <v>208</v>
      </c>
    </row>
    <row r="42" spans="2:9" ht="15">
      <c r="B42" s="43"/>
      <c r="C42" s="44" t="s">
        <v>209</v>
      </c>
      <c r="D42" s="45" t="s">
        <v>210</v>
      </c>
      <c r="E42" s="45" t="s">
        <v>211</v>
      </c>
      <c r="F42" s="45" t="s">
        <v>210</v>
      </c>
      <c r="G42" s="45" t="s">
        <v>181</v>
      </c>
      <c r="H42" s="45" t="s">
        <v>210</v>
      </c>
      <c r="I42" s="45" t="s">
        <v>212</v>
      </c>
    </row>
    <row r="43" spans="2:9" ht="15">
      <c r="B43" s="43" t="s">
        <v>213</v>
      </c>
      <c r="C43" s="46">
        <f>(80000-50000)*25%</f>
        <v>7500</v>
      </c>
      <c r="D43" s="46">
        <f>E43-C43</f>
        <v>-416.66666666666697</v>
      </c>
      <c r="E43" s="46">
        <f>C43*17/18</f>
        <v>7083.333333333333</v>
      </c>
      <c r="F43" s="46">
        <f>G43-E43</f>
        <v>-416.66666666666606</v>
      </c>
      <c r="G43" s="46">
        <f>C43*16/18</f>
        <v>6666.666666666667</v>
      </c>
      <c r="H43" s="46">
        <f aca="true" t="shared" si="0" ref="F43:H49">I43-G43</f>
        <v>-416.66666666666697</v>
      </c>
      <c r="I43" s="46">
        <f>C43*15/18</f>
        <v>6250</v>
      </c>
    </row>
    <row r="44" spans="2:9" ht="15">
      <c r="B44" s="43" t="s">
        <v>214</v>
      </c>
      <c r="C44" s="46">
        <f>-C43*25%</f>
        <v>-1875</v>
      </c>
      <c r="D44" s="46">
        <f aca="true" t="shared" si="1" ref="D44:D49">E44-C44</f>
        <v>104.16666666666674</v>
      </c>
      <c r="E44" s="46">
        <f>-E43*25%</f>
        <v>-1770.8333333333333</v>
      </c>
      <c r="F44" s="46">
        <f t="shared" si="0"/>
        <v>170.83333333333326</v>
      </c>
      <c r="G44" s="46">
        <f>-G43*24%</f>
        <v>-1600</v>
      </c>
      <c r="H44" s="46">
        <f t="shared" si="0"/>
        <v>100</v>
      </c>
      <c r="I44" s="46">
        <f>-I43*24%</f>
        <v>-1500</v>
      </c>
    </row>
    <row r="45" spans="2:9" ht="15">
      <c r="B45" s="43" t="s">
        <v>215</v>
      </c>
      <c r="C45" s="46">
        <f>(45000-30000)*25%</f>
        <v>3750</v>
      </c>
      <c r="D45" s="46">
        <f t="shared" si="1"/>
        <v>-1250</v>
      </c>
      <c r="E45" s="46">
        <f>C45*2/3</f>
        <v>2500</v>
      </c>
      <c r="F45" s="46">
        <f t="shared" si="0"/>
        <v>-1250</v>
      </c>
      <c r="G45" s="46">
        <f>C45*1/3</f>
        <v>1250</v>
      </c>
      <c r="H45" s="46">
        <f t="shared" si="0"/>
        <v>-1250</v>
      </c>
      <c r="I45" s="46">
        <v>0</v>
      </c>
    </row>
    <row r="46" spans="2:9" ht="15">
      <c r="B46" s="43" t="s">
        <v>214</v>
      </c>
      <c r="C46" s="46">
        <f>-C45*25%</f>
        <v>-937.5</v>
      </c>
      <c r="D46" s="46">
        <f t="shared" si="1"/>
        <v>312.5</v>
      </c>
      <c r="E46" s="46">
        <f>-E45*25%</f>
        <v>-625</v>
      </c>
      <c r="F46" s="46">
        <f t="shared" si="0"/>
        <v>325</v>
      </c>
      <c r="G46" s="46">
        <f>-G45*24%</f>
        <v>-300</v>
      </c>
      <c r="H46" s="46">
        <f t="shared" si="0"/>
        <v>300</v>
      </c>
      <c r="I46" s="46">
        <v>0</v>
      </c>
    </row>
    <row r="47" spans="2:9" ht="15">
      <c r="B47" s="43" t="s">
        <v>216</v>
      </c>
      <c r="C47" s="46">
        <f>-25000*25%</f>
        <v>-6250</v>
      </c>
      <c r="D47" s="46">
        <f t="shared" si="1"/>
        <v>0</v>
      </c>
      <c r="E47" s="46">
        <f>C47</f>
        <v>-6250</v>
      </c>
      <c r="F47" s="46">
        <f t="shared" si="0"/>
        <v>6250</v>
      </c>
      <c r="G47" s="46">
        <v>0</v>
      </c>
      <c r="H47" s="46">
        <f t="shared" si="0"/>
        <v>0</v>
      </c>
      <c r="I47" s="46">
        <v>0</v>
      </c>
    </row>
    <row r="48" spans="2:9" ht="15">
      <c r="B48" s="43" t="s">
        <v>214</v>
      </c>
      <c r="C48" s="46">
        <f>-C47*25%</f>
        <v>1562.5</v>
      </c>
      <c r="D48" s="46">
        <f t="shared" si="1"/>
        <v>0</v>
      </c>
      <c r="E48" s="46">
        <f>C48</f>
        <v>1562.5</v>
      </c>
      <c r="F48" s="46">
        <f t="shared" si="0"/>
        <v>-1562.5</v>
      </c>
      <c r="G48" s="46">
        <v>0</v>
      </c>
      <c r="H48" s="46">
        <f t="shared" si="0"/>
        <v>0</v>
      </c>
      <c r="I48" s="46">
        <v>0</v>
      </c>
    </row>
    <row r="49" spans="2:9" ht="15">
      <c r="B49" s="102" t="s">
        <v>217</v>
      </c>
      <c r="C49" s="103">
        <f>-(SUM(C43:C48)-C50)</f>
        <v>145250</v>
      </c>
      <c r="D49" s="103">
        <f t="shared" si="1"/>
        <v>0</v>
      </c>
      <c r="E49" s="103">
        <f>C49</f>
        <v>145250</v>
      </c>
      <c r="F49" s="103">
        <f t="shared" si="0"/>
        <v>0</v>
      </c>
      <c r="G49" s="103">
        <f>E49</f>
        <v>145250</v>
      </c>
      <c r="H49" s="103"/>
      <c r="I49" s="103">
        <f>G49</f>
        <v>145250</v>
      </c>
    </row>
    <row r="50" spans="2:9" ht="15">
      <c r="B50" s="43"/>
      <c r="C50" s="47">
        <f>C38</f>
        <v>149000</v>
      </c>
      <c r="D50" s="48">
        <f aca="true" t="shared" si="2" ref="D50:I50">SUM(D43:D49)</f>
        <v>-1250.0000000000002</v>
      </c>
      <c r="E50" s="47">
        <f t="shared" si="2"/>
        <v>147750</v>
      </c>
      <c r="F50" s="47">
        <f t="shared" si="2"/>
        <v>3516.666666666667</v>
      </c>
      <c r="G50" s="47">
        <f t="shared" si="2"/>
        <v>151266.66666666666</v>
      </c>
      <c r="H50" s="47">
        <f t="shared" si="2"/>
        <v>-1266.666666666667</v>
      </c>
      <c r="I50" s="47">
        <f t="shared" si="2"/>
        <v>150000</v>
      </c>
    </row>
    <row r="51" spans="2:9" ht="15">
      <c r="B51" s="49"/>
      <c r="C51" s="50"/>
      <c r="D51" s="51"/>
      <c r="E51" s="50"/>
      <c r="F51" s="50"/>
      <c r="G51" s="50"/>
      <c r="H51" s="50"/>
      <c r="I51" s="50"/>
    </row>
    <row r="52" spans="2:9" ht="15">
      <c r="B52" s="49"/>
      <c r="C52" s="50"/>
      <c r="D52" s="51"/>
      <c r="E52" s="50"/>
      <c r="F52" s="50"/>
      <c r="G52" s="50"/>
      <c r="H52" s="50"/>
      <c r="I52" s="50"/>
    </row>
    <row r="54" ht="15">
      <c r="B54" s="52" t="s">
        <v>218</v>
      </c>
    </row>
    <row r="56" spans="2:3" ht="14.25">
      <c r="B56" s="53" t="s">
        <v>219</v>
      </c>
      <c r="C56">
        <v>0</v>
      </c>
    </row>
    <row r="57" spans="2:3" ht="14.25">
      <c r="B57" s="53" t="s">
        <v>210</v>
      </c>
      <c r="C57" s="39">
        <f>C58-C56</f>
        <v>-12000</v>
      </c>
    </row>
    <row r="58" spans="2:6" ht="14.25">
      <c r="B58" s="54" t="s">
        <v>211</v>
      </c>
      <c r="C58">
        <f>0.8*(90000-105000)</f>
        <v>-12000</v>
      </c>
      <c r="F58" t="s">
        <v>220</v>
      </c>
    </row>
    <row r="59" spans="2:7" ht="14.25">
      <c r="B59" s="53" t="s">
        <v>210</v>
      </c>
      <c r="C59" s="39">
        <f>C60-C58</f>
        <v>-12000</v>
      </c>
      <c r="G59" t="s">
        <v>221</v>
      </c>
    </row>
    <row r="60" spans="2:6" ht="14.25">
      <c r="B60" s="53" t="s">
        <v>181</v>
      </c>
      <c r="C60">
        <f>(90000-120000)*0.8</f>
        <v>-24000</v>
      </c>
      <c r="F60" t="s">
        <v>222</v>
      </c>
    </row>
    <row r="61" spans="2:3" ht="14.25">
      <c r="B61" s="53" t="s">
        <v>210</v>
      </c>
      <c r="C61" s="39">
        <f>C62-C60</f>
        <v>4000</v>
      </c>
    </row>
    <row r="62" spans="2:6" ht="14.25">
      <c r="B62" s="53" t="s">
        <v>212</v>
      </c>
      <c r="C62">
        <f>(90000-115000)*0.8</f>
        <v>-20000</v>
      </c>
      <c r="F62" t="s">
        <v>223</v>
      </c>
    </row>
    <row r="63" ht="14.25">
      <c r="B63" s="53"/>
    </row>
    <row r="64" ht="14.25">
      <c r="B64" s="53"/>
    </row>
    <row r="66" ht="15">
      <c r="B66" s="1" t="s">
        <v>224</v>
      </c>
    </row>
    <row r="68" spans="2:7" ht="14.25">
      <c r="B68" t="s">
        <v>225</v>
      </c>
      <c r="C68" t="s">
        <v>226</v>
      </c>
      <c r="D68" s="26">
        <f>(41000-31000)*25%</f>
        <v>2500</v>
      </c>
      <c r="G68" t="s">
        <v>227</v>
      </c>
    </row>
    <row r="69" spans="2:7" ht="14.25">
      <c r="B69" t="s">
        <v>228</v>
      </c>
      <c r="C69" t="s">
        <v>229</v>
      </c>
      <c r="D69" s="26">
        <f>(31000-39000)*25%</f>
        <v>-2000</v>
      </c>
      <c r="G69" t="s">
        <v>230</v>
      </c>
    </row>
    <row r="70" ht="14.25">
      <c r="D70" s="26"/>
    </row>
    <row r="71" ht="14.25">
      <c r="D71" s="26"/>
    </row>
    <row r="72" ht="14.25">
      <c r="D72" s="26"/>
    </row>
    <row r="73" ht="15">
      <c r="B73" s="1" t="s">
        <v>231</v>
      </c>
    </row>
    <row r="75" ht="14.25">
      <c r="B75" s="3" t="s">
        <v>232</v>
      </c>
    </row>
    <row r="77" spans="2:7" ht="14.25">
      <c r="B77" t="s">
        <v>211</v>
      </c>
      <c r="C77" s="26">
        <f>-75%*(90000*0.5/2)*20%*25%</f>
        <v>-843.75</v>
      </c>
      <c r="G77" t="s">
        <v>233</v>
      </c>
    </row>
    <row r="78" spans="2:3" ht="14.25">
      <c r="B78" t="s">
        <v>210</v>
      </c>
      <c r="C78" s="27">
        <f>C79-C77</f>
        <v>-1721.25</v>
      </c>
    </row>
    <row r="79" spans="2:7" ht="14.25">
      <c r="B79" t="s">
        <v>181</v>
      </c>
      <c r="C79" s="26">
        <f>-76%*(90000*1.5/2)*20%*25%</f>
        <v>-2565</v>
      </c>
      <c r="G79" t="s">
        <v>234</v>
      </c>
    </row>
    <row r="80" spans="2:3" ht="14.25">
      <c r="B80" t="s">
        <v>210</v>
      </c>
      <c r="C80" s="27">
        <f>C81-C79</f>
        <v>-855</v>
      </c>
    </row>
    <row r="81" spans="2:7" ht="14.25">
      <c r="B81" t="s">
        <v>212</v>
      </c>
      <c r="C81" s="26">
        <f>-76%*(90000)*20%*25%</f>
        <v>-3420</v>
      </c>
      <c r="G81" t="s">
        <v>235</v>
      </c>
    </row>
    <row r="82" ht="14.25">
      <c r="C82" s="26"/>
    </row>
    <row r="83" ht="14.25">
      <c r="C83" s="26"/>
    </row>
    <row r="85" ht="15">
      <c r="B85" s="1" t="s">
        <v>236</v>
      </c>
    </row>
    <row r="86" ht="15">
      <c r="B86" s="1"/>
    </row>
    <row r="87" ht="15">
      <c r="B87" s="1"/>
    </row>
    <row r="89" ht="14.25">
      <c r="B89" s="3" t="s">
        <v>237</v>
      </c>
    </row>
    <row r="91" spans="2:7" ht="14.25">
      <c r="B91" t="s">
        <v>238</v>
      </c>
      <c r="C91" s="26">
        <f>(680000-1305624+10000)*25%</f>
        <v>-153906</v>
      </c>
      <c r="G91" t="s">
        <v>239</v>
      </c>
    </row>
    <row r="92" spans="2:3" ht="14.25">
      <c r="B92" t="s">
        <v>175</v>
      </c>
      <c r="C92" s="26">
        <f>C58*25%</f>
        <v>-3000</v>
      </c>
    </row>
    <row r="93" spans="2:3" ht="14.25">
      <c r="B93" t="s">
        <v>240</v>
      </c>
      <c r="C93" s="26">
        <f>E50</f>
        <v>147750</v>
      </c>
    </row>
    <row r="94" spans="2:3" ht="14.25">
      <c r="B94" t="s">
        <v>178</v>
      </c>
      <c r="C94" s="27">
        <f>C77</f>
        <v>-843.75</v>
      </c>
    </row>
    <row r="95" spans="2:3" ht="14.25">
      <c r="B95" t="s">
        <v>211</v>
      </c>
      <c r="C95" s="26">
        <f>SUM(C91:C94)</f>
        <v>-9999.75</v>
      </c>
    </row>
    <row r="96" ht="14.25">
      <c r="C96" s="26"/>
    </row>
    <row r="97" ht="14.25">
      <c r="C97" s="26"/>
    </row>
    <row r="98" ht="14.25">
      <c r="C98" s="26"/>
    </row>
    <row r="99" ht="14.25">
      <c r="B99" s="3" t="s">
        <v>241</v>
      </c>
    </row>
    <row r="101" spans="2:7" ht="14.25">
      <c r="B101" t="s">
        <v>238</v>
      </c>
      <c r="C101" s="26">
        <f>(-615624-443180)*25%</f>
        <v>-264701</v>
      </c>
      <c r="G101" t="s">
        <v>242</v>
      </c>
    </row>
    <row r="102" spans="2:3" ht="14.25">
      <c r="B102" t="s">
        <v>175</v>
      </c>
      <c r="C102" s="26">
        <f>25%*C60</f>
        <v>-6000</v>
      </c>
    </row>
    <row r="103" spans="2:3" ht="14.25">
      <c r="B103" t="s">
        <v>240</v>
      </c>
      <c r="C103" s="26">
        <f>G50</f>
        <v>151266.66666666666</v>
      </c>
    </row>
    <row r="104" spans="2:3" ht="14.25">
      <c r="B104" t="s">
        <v>178</v>
      </c>
      <c r="C104" s="27">
        <f>C79</f>
        <v>-2565</v>
      </c>
    </row>
    <row r="105" ht="14.25">
      <c r="C105" s="26">
        <f>SUM(C101:C104)</f>
        <v>-121999.33333333334</v>
      </c>
    </row>
    <row r="106" ht="14.25">
      <c r="B106" t="s">
        <v>243</v>
      </c>
    </row>
    <row r="107" spans="2:3" ht="14.25">
      <c r="B107" t="s">
        <v>244</v>
      </c>
      <c r="C107" s="37">
        <f>M19</f>
        <v>99999.33333333333</v>
      </c>
    </row>
    <row r="108" spans="2:3" ht="14.25">
      <c r="B108" t="s">
        <v>181</v>
      </c>
      <c r="C108" s="55">
        <f>C105+C107</f>
        <v>-22000.000000000015</v>
      </c>
    </row>
    <row r="109" ht="14.25">
      <c r="C109" s="55"/>
    </row>
    <row r="110" ht="14.25">
      <c r="C110" s="55"/>
    </row>
    <row r="112" ht="14.25">
      <c r="B112" s="3" t="s">
        <v>245</v>
      </c>
    </row>
    <row r="114" spans="2:7" ht="14.25">
      <c r="B114" t="s">
        <v>238</v>
      </c>
      <c r="C114" s="56">
        <f>25%*(-1058804-8000+1269484)</f>
        <v>50670</v>
      </c>
      <c r="G114" t="s">
        <v>246</v>
      </c>
    </row>
    <row r="115" spans="2:3" ht="14.25">
      <c r="B115" t="s">
        <v>175</v>
      </c>
      <c r="C115" s="56">
        <f>C62*25%</f>
        <v>-5000</v>
      </c>
    </row>
    <row r="116" spans="2:3" ht="14.25">
      <c r="B116" t="s">
        <v>240</v>
      </c>
      <c r="C116" s="56">
        <f>I50</f>
        <v>150000</v>
      </c>
    </row>
    <row r="117" spans="2:3" ht="14.25">
      <c r="B117" t="s">
        <v>178</v>
      </c>
      <c r="C117" s="27">
        <f>C81</f>
        <v>-3420</v>
      </c>
    </row>
    <row r="118" spans="2:3" ht="14.25">
      <c r="B118" t="s">
        <v>212</v>
      </c>
      <c r="C118" s="26">
        <f>SUM(C114:C117)</f>
        <v>192250</v>
      </c>
    </row>
    <row r="119" ht="14.25">
      <c r="C119" s="2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rightToLeft="1" zoomScalePageLayoutView="0" workbookViewId="0" topLeftCell="B94">
      <selection activeCell="I102" sqref="I102"/>
    </sheetView>
  </sheetViews>
  <sheetFormatPr defaultColWidth="9.140625" defaultRowHeight="15"/>
  <cols>
    <col min="1" max="1" width="6.7109375" style="57" customWidth="1"/>
    <col min="2" max="2" width="31.28125" style="58" customWidth="1"/>
    <col min="3" max="3" width="24.57421875" style="59" customWidth="1"/>
    <col min="4" max="4" width="15.8515625" style="59" bestFit="1" customWidth="1"/>
    <col min="5" max="5" width="16.7109375" style="59" bestFit="1" customWidth="1"/>
    <col min="6" max="6" width="10.7109375" style="59" customWidth="1"/>
    <col min="7" max="7" width="11.57421875" style="59" customWidth="1"/>
    <col min="8" max="8" width="20.421875" style="59" customWidth="1"/>
    <col min="9" max="9" width="14.421875" style="59" bestFit="1" customWidth="1"/>
    <col min="10" max="10" width="9.00390625" style="59" customWidth="1"/>
    <col min="11" max="11" width="14.28125" style="59" customWidth="1"/>
    <col min="12" max="12" width="10.140625" style="59" customWidth="1"/>
    <col min="13" max="16384" width="9.00390625" style="59" customWidth="1"/>
  </cols>
  <sheetData>
    <row r="1" spans="2:5" ht="12.75">
      <c r="B1" s="58" t="s">
        <v>247</v>
      </c>
      <c r="C1" s="59" t="s">
        <v>248</v>
      </c>
      <c r="D1" s="60"/>
      <c r="E1" s="60"/>
    </row>
    <row r="2" spans="2:5" ht="12.75">
      <c r="B2" s="61" t="s">
        <v>249</v>
      </c>
      <c r="C2" s="62">
        <f>2200/20000</f>
        <v>0.11</v>
      </c>
      <c r="D2" s="63"/>
      <c r="E2" s="63"/>
    </row>
    <row r="3" spans="2:3" ht="12.75">
      <c r="B3" s="61" t="s">
        <v>250</v>
      </c>
      <c r="C3" s="62">
        <f>4400/20000</f>
        <v>0.22</v>
      </c>
    </row>
    <row r="4" spans="2:3" ht="12.75">
      <c r="B4" s="61" t="s">
        <v>251</v>
      </c>
      <c r="C4" s="62">
        <f>5400/21600</f>
        <v>0.25</v>
      </c>
    </row>
    <row r="5" spans="2:3" ht="12.75">
      <c r="B5" s="61" t="s">
        <v>252</v>
      </c>
      <c r="C5" s="62">
        <f>5400/22500</f>
        <v>0.24</v>
      </c>
    </row>
    <row r="7" ht="12.75">
      <c r="G7" s="60"/>
    </row>
    <row r="8" spans="1:9" ht="12.75">
      <c r="A8" s="64"/>
      <c r="B8" s="65" t="s">
        <v>253</v>
      </c>
      <c r="D8" s="66" t="s">
        <v>254</v>
      </c>
      <c r="G8" s="67">
        <v>5</v>
      </c>
      <c r="H8" s="68" t="s">
        <v>255</v>
      </c>
      <c r="I8" s="69" t="s">
        <v>256</v>
      </c>
    </row>
    <row r="9" spans="2:11" ht="12.75">
      <c r="B9" s="58" t="s">
        <v>257</v>
      </c>
      <c r="C9" s="59">
        <f>D54</f>
        <v>300000</v>
      </c>
      <c r="D9" s="67">
        <v>1</v>
      </c>
      <c r="G9" s="60"/>
      <c r="H9" s="59" t="s">
        <v>258</v>
      </c>
      <c r="I9" s="59">
        <f>K9*C3</f>
        <v>226600</v>
      </c>
      <c r="K9" s="59">
        <f>D59+420000*6/12+D95*0.8</f>
        <v>1030000</v>
      </c>
    </row>
    <row r="10" spans="2:9" ht="12.75">
      <c r="B10" s="58" t="s">
        <v>259</v>
      </c>
      <c r="C10" s="59">
        <f>C3*420000*6/12</f>
        <v>46200</v>
      </c>
      <c r="D10" s="67"/>
      <c r="H10" s="59" t="s">
        <v>260</v>
      </c>
      <c r="I10" s="59">
        <f>C3*D76</f>
        <v>0</v>
      </c>
    </row>
    <row r="11" spans="2:9" ht="12.75">
      <c r="B11" s="70" t="s">
        <v>261</v>
      </c>
      <c r="D11" s="67"/>
      <c r="H11" s="59" t="s">
        <v>262</v>
      </c>
      <c r="I11" s="59">
        <f>C3*D81</f>
        <v>2514.285714285715</v>
      </c>
    </row>
    <row r="12" spans="2:8" ht="12.75">
      <c r="B12" s="58" t="s">
        <v>263</v>
      </c>
      <c r="C12" s="59">
        <f>-(D65+D66)</f>
        <v>-2640</v>
      </c>
      <c r="D12" s="67"/>
      <c r="H12" s="71" t="s">
        <v>264</v>
      </c>
    </row>
    <row r="13" spans="2:11" ht="12.75">
      <c r="B13" s="58" t="s">
        <v>265</v>
      </c>
      <c r="C13" s="59">
        <f>-D67*0.5/8.5*0.8</f>
        <v>-500.3921568627452</v>
      </c>
      <c r="D13" s="67"/>
      <c r="H13" s="59" t="s">
        <v>265</v>
      </c>
      <c r="I13" s="59">
        <f>D67*8/8.5</f>
        <v>10007.843137254904</v>
      </c>
      <c r="K13" s="63"/>
    </row>
    <row r="14" spans="2:11" ht="12.75">
      <c r="B14" s="58" t="s">
        <v>266</v>
      </c>
      <c r="C14" s="59">
        <f>C3*D75</f>
        <v>-2640</v>
      </c>
      <c r="D14" s="67">
        <v>2</v>
      </c>
      <c r="G14" s="60"/>
      <c r="H14" s="59" t="s">
        <v>214</v>
      </c>
      <c r="I14" s="59">
        <f>-I13*0.2</f>
        <v>-2001.5686274509808</v>
      </c>
      <c r="K14" s="63"/>
    </row>
    <row r="15" spans="2:9" ht="12.75">
      <c r="B15" s="70" t="s">
        <v>262</v>
      </c>
      <c r="C15" s="72"/>
      <c r="D15" s="67">
        <v>3</v>
      </c>
      <c r="G15" s="67"/>
      <c r="H15" s="59" t="s">
        <v>217</v>
      </c>
      <c r="I15" s="73">
        <f>D69</f>
        <v>99213.33333333333</v>
      </c>
    </row>
    <row r="16" spans="2:11" ht="12.75">
      <c r="B16" s="58" t="s">
        <v>267</v>
      </c>
      <c r="C16" s="72">
        <f>C3*D90</f>
        <v>628.5714285714275</v>
      </c>
      <c r="D16" s="67"/>
      <c r="G16" s="67"/>
      <c r="I16" s="59">
        <f>SUM(I9:I15)</f>
        <v>336333.89355742297</v>
      </c>
      <c r="K16" s="59">
        <f>I16-C19</f>
        <v>0</v>
      </c>
    </row>
    <row r="17" spans="2:7" ht="12.75">
      <c r="B17" s="58" t="s">
        <v>268</v>
      </c>
      <c r="C17" s="72">
        <f>C3*D87</f>
        <v>-314.28571428571405</v>
      </c>
      <c r="D17" s="67"/>
      <c r="G17" s="67"/>
    </row>
    <row r="18" spans="2:9" ht="12.75">
      <c r="B18" s="58" t="s">
        <v>522</v>
      </c>
      <c r="C18" s="73">
        <f>C3*D95*0.8</f>
        <v>-4400</v>
      </c>
      <c r="D18" s="67">
        <v>4</v>
      </c>
      <c r="G18" s="67">
        <v>11</v>
      </c>
      <c r="H18" s="68" t="s">
        <v>255</v>
      </c>
      <c r="I18" s="69" t="s">
        <v>270</v>
      </c>
    </row>
    <row r="19" spans="2:11" ht="12.75">
      <c r="B19" s="61" t="s">
        <v>256</v>
      </c>
      <c r="C19" s="59">
        <f>SUM(C9:C18)</f>
        <v>336333.8935574229</v>
      </c>
      <c r="D19" s="67">
        <v>5</v>
      </c>
      <c r="G19" s="67"/>
      <c r="H19" s="59" t="s">
        <v>258</v>
      </c>
      <c r="I19" s="59">
        <f>C4*K19</f>
        <v>342500</v>
      </c>
      <c r="K19" s="59">
        <f>K9+130000+420000*6/12</f>
        <v>1370000</v>
      </c>
    </row>
    <row r="20" spans="2:9" ht="12.75">
      <c r="B20" s="58" t="s">
        <v>271</v>
      </c>
      <c r="C20" s="59">
        <f>E108</f>
        <v>93750</v>
      </c>
      <c r="D20" s="67">
        <v>6</v>
      </c>
      <c r="G20" s="67"/>
      <c r="H20" s="59" t="s">
        <v>260</v>
      </c>
      <c r="I20" s="59">
        <f>C4*D129</f>
        <v>-800</v>
      </c>
    </row>
    <row r="21" spans="2:9" ht="12.75">
      <c r="B21" s="58" t="s">
        <v>272</v>
      </c>
      <c r="C21" s="59">
        <f>C4*420000*6/12</f>
        <v>52500</v>
      </c>
      <c r="D21" s="67"/>
      <c r="G21" s="67"/>
      <c r="H21" s="59" t="s">
        <v>262</v>
      </c>
      <c r="I21" s="59">
        <f>C4*D134</f>
        <v>1214.2857142857144</v>
      </c>
    </row>
    <row r="22" spans="2:8" ht="12.75">
      <c r="B22" s="70" t="s">
        <v>261</v>
      </c>
      <c r="D22" s="67"/>
      <c r="G22" s="67"/>
      <c r="H22" s="71" t="s">
        <v>264</v>
      </c>
    </row>
    <row r="23" spans="2:9" ht="12.75">
      <c r="B23" s="58" t="s">
        <v>265</v>
      </c>
      <c r="C23" s="59">
        <f>-(I13+D121)*0.5/8*0.8</f>
        <v>-585.3921568627452</v>
      </c>
      <c r="D23" s="67"/>
      <c r="G23" s="67"/>
      <c r="H23" s="59" t="s">
        <v>265</v>
      </c>
      <c r="I23" s="59">
        <f>D165</f>
        <v>1250</v>
      </c>
    </row>
    <row r="24" spans="2:9" ht="12.75">
      <c r="B24" s="58" t="s">
        <v>266</v>
      </c>
      <c r="C24" s="59">
        <f>C4*D128</f>
        <v>-800</v>
      </c>
      <c r="D24" s="67">
        <v>7</v>
      </c>
      <c r="G24" s="67"/>
      <c r="H24" s="59" t="s">
        <v>214</v>
      </c>
      <c r="I24" s="59">
        <f>-0.2*I23</f>
        <v>-250</v>
      </c>
    </row>
    <row r="25" spans="2:9" ht="12.75">
      <c r="B25" s="70" t="s">
        <v>262</v>
      </c>
      <c r="C25" s="72"/>
      <c r="D25" s="67">
        <v>8</v>
      </c>
      <c r="G25" s="67"/>
      <c r="H25" s="59" t="s">
        <v>217</v>
      </c>
      <c r="I25" s="73">
        <f>I15+D123</f>
        <v>127860.47619047623</v>
      </c>
    </row>
    <row r="26" spans="2:11" ht="12.75">
      <c r="B26" s="58" t="s">
        <v>267</v>
      </c>
      <c r="C26" s="72">
        <f>D146</f>
        <v>-523.809523809523</v>
      </c>
      <c r="D26" s="67"/>
      <c r="G26" s="67"/>
      <c r="I26" s="59">
        <f>SUM(I19:I25)</f>
        <v>471774.76190476195</v>
      </c>
      <c r="K26" s="59">
        <f>C31-I26</f>
        <v>0</v>
      </c>
    </row>
    <row r="27" spans="2:7" ht="12.75">
      <c r="B27" s="58" t="s">
        <v>273</v>
      </c>
      <c r="C27" s="72">
        <f>D147</f>
        <v>-642.8571428571429</v>
      </c>
      <c r="D27" s="67"/>
      <c r="G27" s="67"/>
    </row>
    <row r="28" spans="2:7" ht="12.75">
      <c r="B28" s="58" t="s">
        <v>268</v>
      </c>
      <c r="C28" s="72">
        <f>C4*D140</f>
        <v>-476.190476190476</v>
      </c>
      <c r="D28" s="67"/>
      <c r="G28" s="67"/>
    </row>
    <row r="29" spans="2:9" ht="12.75">
      <c r="B29" s="58" t="s">
        <v>269</v>
      </c>
      <c r="C29" s="59">
        <v>0</v>
      </c>
      <c r="D29" s="67">
        <v>9</v>
      </c>
      <c r="G29" s="67">
        <v>12</v>
      </c>
      <c r="H29" s="68" t="s">
        <v>255</v>
      </c>
      <c r="I29" s="69" t="s">
        <v>274</v>
      </c>
    </row>
    <row r="30" spans="2:13" ht="12.75">
      <c r="B30" s="58" t="s">
        <v>275</v>
      </c>
      <c r="C30" s="73">
        <f>-D166*0.8</f>
        <v>-7780.882352941178</v>
      </c>
      <c r="D30" s="67">
        <v>10</v>
      </c>
      <c r="G30" s="67"/>
      <c r="H30" s="59" t="s">
        <v>258</v>
      </c>
      <c r="I30" s="59">
        <f>C5*K30</f>
        <v>333600</v>
      </c>
      <c r="K30" s="59">
        <f>K19+20000</f>
        <v>1390000</v>
      </c>
      <c r="L30" s="59" t="s">
        <v>276</v>
      </c>
      <c r="M30" s="59">
        <f>-C32</f>
        <v>14070.990476190345</v>
      </c>
    </row>
    <row r="31" spans="2:13" ht="12.75">
      <c r="B31" s="61" t="s">
        <v>277</v>
      </c>
      <c r="C31" s="59">
        <f>SUM(C19:C30)</f>
        <v>471774.7619047618</v>
      </c>
      <c r="D31" s="67">
        <v>11</v>
      </c>
      <c r="G31" s="67"/>
      <c r="H31" s="59" t="s">
        <v>260</v>
      </c>
      <c r="I31" s="59">
        <f>C5*D129</f>
        <v>-768</v>
      </c>
      <c r="L31" s="59" t="s">
        <v>278</v>
      </c>
      <c r="M31" s="59">
        <f>M30</f>
        <v>14070.990476190345</v>
      </c>
    </row>
    <row r="32" spans="2:9" ht="12.75">
      <c r="B32" s="58" t="s">
        <v>279</v>
      </c>
      <c r="C32" s="73">
        <f>C33-C31</f>
        <v>-14070.990476190345</v>
      </c>
      <c r="D32" s="67"/>
      <c r="G32" s="67"/>
      <c r="H32" s="59" t="s">
        <v>262</v>
      </c>
      <c r="I32" s="59">
        <f>C5*D134</f>
        <v>1165.7142857142858</v>
      </c>
    </row>
    <row r="33" spans="2:8" ht="12.75">
      <c r="B33" s="61" t="s">
        <v>280</v>
      </c>
      <c r="C33" s="59">
        <f>I37</f>
        <v>457703.77142857143</v>
      </c>
      <c r="D33" s="67">
        <v>12</v>
      </c>
      <c r="G33" s="67"/>
      <c r="H33" s="71" t="s">
        <v>264</v>
      </c>
    </row>
    <row r="34" spans="2:9" ht="12.75">
      <c r="B34" s="58" t="s">
        <v>281</v>
      </c>
      <c r="C34" s="59">
        <f>C5*420000*6/12</f>
        <v>50400</v>
      </c>
      <c r="D34" s="67"/>
      <c r="G34" s="67"/>
      <c r="H34" s="59" t="s">
        <v>265</v>
      </c>
      <c r="I34" s="59">
        <f>I23*C5/C4</f>
        <v>1200</v>
      </c>
    </row>
    <row r="35" spans="2:9" ht="12.75">
      <c r="B35" s="70" t="s">
        <v>261</v>
      </c>
      <c r="D35" s="67"/>
      <c r="G35" s="67"/>
      <c r="H35" s="59" t="s">
        <v>214</v>
      </c>
      <c r="I35" s="59">
        <f>-0.2*I34</f>
        <v>-240</v>
      </c>
    </row>
    <row r="36" spans="2:9" ht="12.75">
      <c r="B36" s="58" t="s">
        <v>265</v>
      </c>
      <c r="C36" s="59">
        <f>-I34*0.5/7.5*0.8</f>
        <v>-64</v>
      </c>
      <c r="D36" s="67"/>
      <c r="G36" s="67"/>
      <c r="H36" s="59" t="s">
        <v>217</v>
      </c>
      <c r="I36" s="73">
        <f>I25*C5/C4</f>
        <v>122746.05714285717</v>
      </c>
    </row>
    <row r="37" spans="2:11" ht="12.75">
      <c r="B37" s="58" t="s">
        <v>266</v>
      </c>
      <c r="C37" s="59">
        <f>C5*D170</f>
        <v>2112</v>
      </c>
      <c r="D37" s="67">
        <v>13</v>
      </c>
      <c r="G37" s="67"/>
      <c r="I37" s="59">
        <f>SUM(I30:I36)</f>
        <v>457703.77142857143</v>
      </c>
      <c r="K37" s="59">
        <f>C33-I37</f>
        <v>0</v>
      </c>
    </row>
    <row r="38" spans="2:4" ht="12.75">
      <c r="B38" s="70" t="s">
        <v>262</v>
      </c>
      <c r="C38" s="72"/>
      <c r="D38" s="67">
        <v>14</v>
      </c>
    </row>
    <row r="39" spans="2:9" ht="12.75">
      <c r="B39" s="58" t="s">
        <v>267</v>
      </c>
      <c r="C39" s="72">
        <f>D187</f>
        <v>1042.2857142857142</v>
      </c>
      <c r="D39" s="67"/>
      <c r="G39" s="67">
        <v>16</v>
      </c>
      <c r="H39" s="68" t="s">
        <v>255</v>
      </c>
      <c r="I39" s="69" t="s">
        <v>282</v>
      </c>
    </row>
    <row r="40" spans="2:11" ht="12.75">
      <c r="B40" s="58" t="s">
        <v>283</v>
      </c>
      <c r="C40" s="72">
        <f>D188</f>
        <v>493.7142857142857</v>
      </c>
      <c r="D40" s="67"/>
      <c r="G40" s="67"/>
      <c r="H40" s="59" t="s">
        <v>258</v>
      </c>
      <c r="I40" s="59">
        <f>C5*K40</f>
        <v>372000</v>
      </c>
      <c r="K40" s="59">
        <f>K30+420000*6/12-50000</f>
        <v>1550000</v>
      </c>
    </row>
    <row r="41" spans="2:9" ht="12.75">
      <c r="B41" s="58" t="s">
        <v>268</v>
      </c>
      <c r="C41" s="72">
        <f>C5*D182</f>
        <v>-233.14285714285705</v>
      </c>
      <c r="D41" s="67"/>
      <c r="G41" s="67"/>
      <c r="H41" s="59" t="s">
        <v>260</v>
      </c>
      <c r="I41" s="59">
        <f>C5*D171</f>
        <v>1344</v>
      </c>
    </row>
    <row r="42" spans="2:7" ht="12.75">
      <c r="B42" s="58" t="s">
        <v>284</v>
      </c>
      <c r="C42" s="72">
        <f>-C5*50000</f>
        <v>-12000</v>
      </c>
      <c r="D42" s="67"/>
      <c r="G42" s="67"/>
    </row>
    <row r="43" spans="2:9" ht="12.75">
      <c r="B43" s="58" t="s">
        <v>285</v>
      </c>
      <c r="C43" s="73">
        <f>D201*0.8</f>
        <v>6971.670588235294</v>
      </c>
      <c r="D43" s="67">
        <v>15</v>
      </c>
      <c r="G43" s="67"/>
      <c r="H43" s="59" t="s">
        <v>262</v>
      </c>
      <c r="I43" s="59">
        <f>C5*D176</f>
        <v>2468.571428571428</v>
      </c>
    </row>
    <row r="44" spans="1:8" ht="12.75">
      <c r="A44" s="74"/>
      <c r="B44" s="61" t="s">
        <v>282</v>
      </c>
      <c r="C44" s="59">
        <f>SUM(C33:C43)</f>
        <v>506426.2991596639</v>
      </c>
      <c r="D44" s="67">
        <v>16</v>
      </c>
      <c r="G44" s="67"/>
      <c r="H44" s="71" t="s">
        <v>264</v>
      </c>
    </row>
    <row r="45" spans="1:9" ht="12.75">
      <c r="A45" s="75"/>
      <c r="G45" s="67"/>
      <c r="H45" s="59" t="s">
        <v>265</v>
      </c>
      <c r="I45" s="59">
        <f>D200</f>
        <v>9834.588235294117</v>
      </c>
    </row>
    <row r="46" spans="7:9" ht="12.75">
      <c r="G46" s="67"/>
      <c r="H46" s="59" t="s">
        <v>214</v>
      </c>
      <c r="I46" s="59">
        <f>-0.2*I45</f>
        <v>-1966.9176470588236</v>
      </c>
    </row>
    <row r="47" spans="2:9" ht="12.75">
      <c r="B47" s="58" t="s">
        <v>286</v>
      </c>
      <c r="G47" s="67"/>
      <c r="H47" s="59" t="s">
        <v>217</v>
      </c>
      <c r="I47" s="73">
        <f>I36</f>
        <v>122746.05714285717</v>
      </c>
    </row>
    <row r="48" spans="2:11" ht="12.75">
      <c r="B48" s="58" t="s">
        <v>287</v>
      </c>
      <c r="G48" s="67"/>
      <c r="I48" s="59">
        <f>SUM(I40:I47)</f>
        <v>506426.29915966385</v>
      </c>
      <c r="K48" s="59">
        <f>C44-I48</f>
        <v>0</v>
      </c>
    </row>
    <row r="49" spans="2:7" ht="12.75">
      <c r="B49" s="58" t="s">
        <v>288</v>
      </c>
      <c r="G49" s="67"/>
    </row>
    <row r="50" spans="1:7" ht="12.75">
      <c r="A50" s="74"/>
      <c r="B50" s="58" t="s">
        <v>289</v>
      </c>
      <c r="G50" s="60"/>
    </row>
    <row r="51" spans="1:7" ht="12.75">
      <c r="A51" s="75"/>
      <c r="G51" s="60"/>
    </row>
    <row r="53" spans="1:8" ht="12.75">
      <c r="A53" s="75"/>
      <c r="B53" s="76">
        <v>1</v>
      </c>
      <c r="C53" s="68" t="s">
        <v>290</v>
      </c>
      <c r="D53" s="77" t="s">
        <v>291</v>
      </c>
      <c r="H53" s="68" t="s">
        <v>292</v>
      </c>
    </row>
    <row r="54" spans="2:9" ht="12.75">
      <c r="B54" s="76"/>
      <c r="C54" s="59" t="s">
        <v>149</v>
      </c>
      <c r="D54" s="59">
        <f>I61</f>
        <v>300000</v>
      </c>
      <c r="G54" s="59" t="s">
        <v>293</v>
      </c>
      <c r="H54" s="59" t="s">
        <v>294</v>
      </c>
      <c r="I54" s="78">
        <v>120000</v>
      </c>
    </row>
    <row r="55" spans="2:9" ht="12.75">
      <c r="B55" s="76"/>
      <c r="C55" s="59" t="s">
        <v>295</v>
      </c>
      <c r="D55" s="73">
        <f>C3*D62</f>
        <v>189640</v>
      </c>
      <c r="H55" s="59" t="s">
        <v>296</v>
      </c>
      <c r="I55" s="78">
        <v>120000</v>
      </c>
    </row>
    <row r="56" spans="2:9" ht="12.75">
      <c r="B56" s="76"/>
      <c r="D56" s="59">
        <f>D54-D55</f>
        <v>110360</v>
      </c>
      <c r="I56" s="78"/>
    </row>
    <row r="57" spans="2:9" ht="12.75">
      <c r="B57" s="76"/>
      <c r="G57" s="59" t="s">
        <v>297</v>
      </c>
      <c r="H57" s="59" t="s">
        <v>294</v>
      </c>
      <c r="I57" s="78">
        <v>30000</v>
      </c>
    </row>
    <row r="58" spans="2:9" ht="12.75">
      <c r="B58" s="76"/>
      <c r="C58" s="71" t="s">
        <v>298</v>
      </c>
      <c r="H58" s="59" t="s">
        <v>299</v>
      </c>
      <c r="I58" s="78">
        <f>30000*0.85</f>
        <v>25500</v>
      </c>
    </row>
    <row r="59" spans="2:9" ht="12.75">
      <c r="B59" s="76"/>
      <c r="C59" s="59" t="s">
        <v>300</v>
      </c>
      <c r="D59" s="59">
        <v>840000</v>
      </c>
      <c r="H59" s="59" t="s">
        <v>301</v>
      </c>
      <c r="I59" s="78">
        <f>30000*0.1</f>
        <v>3000</v>
      </c>
    </row>
    <row r="60" spans="2:9" ht="12.75">
      <c r="B60" s="76"/>
      <c r="C60" s="59" t="s">
        <v>302</v>
      </c>
      <c r="D60" s="59">
        <f>(95000-165000*3.5/7)*0.8</f>
        <v>10000</v>
      </c>
      <c r="I60" s="78"/>
    </row>
    <row r="61" spans="2:9" ht="12.75">
      <c r="B61" s="76"/>
      <c r="C61" s="79" t="s">
        <v>303</v>
      </c>
      <c r="D61" s="73">
        <f>(135000-120000)*0.8</f>
        <v>12000</v>
      </c>
      <c r="G61" s="59" t="s">
        <v>304</v>
      </c>
      <c r="H61" s="59" t="s">
        <v>305</v>
      </c>
      <c r="I61" s="78">
        <f>150000*2</f>
        <v>300000</v>
      </c>
    </row>
    <row r="62" spans="2:9" ht="12.75">
      <c r="B62" s="76"/>
      <c r="D62" s="59">
        <f>SUM(D59:D61)</f>
        <v>862000</v>
      </c>
      <c r="H62" s="59" t="s">
        <v>306</v>
      </c>
      <c r="I62" s="78">
        <v>150000</v>
      </c>
    </row>
    <row r="63" spans="2:9" ht="12.75">
      <c r="B63" s="76"/>
      <c r="C63" s="72"/>
      <c r="H63" s="59" t="s">
        <v>296</v>
      </c>
      <c r="I63" s="78">
        <v>150000</v>
      </c>
    </row>
    <row r="64" spans="2:11" ht="12.75">
      <c r="B64" s="76"/>
      <c r="C64" s="68" t="s">
        <v>307</v>
      </c>
      <c r="I64" s="78"/>
      <c r="K64" s="60"/>
    </row>
    <row r="65" spans="2:12" ht="12.75">
      <c r="B65" s="76"/>
      <c r="C65" s="59" t="s">
        <v>263</v>
      </c>
      <c r="D65" s="59">
        <f>C3*(150000-135000)</f>
        <v>3300</v>
      </c>
      <c r="H65" s="59" t="s">
        <v>308</v>
      </c>
      <c r="I65" s="78">
        <f>I58</f>
        <v>25500</v>
      </c>
      <c r="K65" s="59" t="s">
        <v>309</v>
      </c>
      <c r="L65" s="59">
        <f>I66</f>
        <v>3000</v>
      </c>
    </row>
    <row r="66" spans="2:12" ht="12.75">
      <c r="B66" s="76"/>
      <c r="C66" s="59" t="s">
        <v>214</v>
      </c>
      <c r="D66" s="59">
        <f>-D65*0.2</f>
        <v>-660</v>
      </c>
      <c r="H66" s="59" t="s">
        <v>310</v>
      </c>
      <c r="I66" s="78">
        <f>I59</f>
        <v>3000</v>
      </c>
      <c r="K66" s="59" t="s">
        <v>311</v>
      </c>
      <c r="L66" s="59">
        <f>L65</f>
        <v>3000</v>
      </c>
    </row>
    <row r="67" spans="2:9" ht="12.75">
      <c r="B67" s="76"/>
      <c r="C67" s="59" t="s">
        <v>265</v>
      </c>
      <c r="D67" s="59">
        <f>(190000-250000*8.5/15)*C3</f>
        <v>10633.333333333336</v>
      </c>
      <c r="H67" s="59" t="s">
        <v>312</v>
      </c>
      <c r="I67" s="78">
        <f>30000</f>
        <v>30000</v>
      </c>
    </row>
    <row r="68" spans="2:9" ht="12.75">
      <c r="B68" s="76"/>
      <c r="C68" s="59" t="s">
        <v>214</v>
      </c>
      <c r="D68" s="59">
        <f>-D67*0.2</f>
        <v>-2126.6666666666674</v>
      </c>
      <c r="I68" s="80"/>
    </row>
    <row r="69" spans="2:4" ht="12.75">
      <c r="B69" s="76"/>
      <c r="C69" s="79" t="s">
        <v>217</v>
      </c>
      <c r="D69" s="73">
        <f>D56-SUM(D65:D68)</f>
        <v>99213.33333333333</v>
      </c>
    </row>
    <row r="70" spans="2:8" ht="12.75">
      <c r="B70" s="76"/>
      <c r="D70" s="59">
        <f>D56</f>
        <v>110360</v>
      </c>
      <c r="H70" s="68" t="s">
        <v>313</v>
      </c>
    </row>
    <row r="71" spans="2:8" ht="12.75">
      <c r="B71" s="76"/>
      <c r="H71" s="81" t="s">
        <v>256</v>
      </c>
    </row>
    <row r="72" spans="2:10" ht="12.75">
      <c r="B72" s="76"/>
      <c r="H72" s="59" t="s">
        <v>314</v>
      </c>
      <c r="I72" s="59">
        <f>C19</f>
        <v>336333.8935574229</v>
      </c>
      <c r="J72" s="80"/>
    </row>
    <row r="73" spans="2:9" ht="12.75">
      <c r="B73" s="76">
        <v>2</v>
      </c>
      <c r="C73" s="68" t="s">
        <v>260</v>
      </c>
      <c r="H73" s="59" t="s">
        <v>315</v>
      </c>
      <c r="I73" s="73">
        <f>120000+150000</f>
        <v>270000</v>
      </c>
    </row>
    <row r="74" spans="2:9" ht="12.75">
      <c r="B74" s="76"/>
      <c r="C74" s="61" t="s">
        <v>277</v>
      </c>
      <c r="D74" s="59">
        <f>D61</f>
        <v>12000</v>
      </c>
      <c r="H74" s="59" t="s">
        <v>316</v>
      </c>
      <c r="I74" s="59">
        <f>I72-I73</f>
        <v>66333.89355742291</v>
      </c>
    </row>
    <row r="75" spans="2:11" ht="12.75">
      <c r="B75" s="76"/>
      <c r="C75" s="58" t="s">
        <v>8</v>
      </c>
      <c r="D75" s="73">
        <f>D76-D74</f>
        <v>-12000</v>
      </c>
      <c r="E75" s="79" t="s">
        <v>317</v>
      </c>
      <c r="H75" s="59" t="s">
        <v>318</v>
      </c>
      <c r="I75" s="59">
        <f>I67</f>
        <v>30000</v>
      </c>
      <c r="K75" s="59" t="s">
        <v>319</v>
      </c>
    </row>
    <row r="76" spans="2:11" ht="12.75">
      <c r="B76" s="76"/>
      <c r="C76" s="61" t="s">
        <v>320</v>
      </c>
      <c r="D76" s="59">
        <f>(110000-110000)*0.8</f>
        <v>0</v>
      </c>
      <c r="H76" s="59" t="s">
        <v>321</v>
      </c>
      <c r="I76" s="59">
        <f>C16</f>
        <v>628.5714285714275</v>
      </c>
      <c r="K76" s="59" t="s">
        <v>322</v>
      </c>
    </row>
    <row r="77" spans="2:11" ht="12.75">
      <c r="B77" s="76"/>
      <c r="H77" s="59" t="s">
        <v>323</v>
      </c>
      <c r="I77" s="73">
        <f>I74-I76-I75</f>
        <v>35705.32212885149</v>
      </c>
      <c r="K77" s="59" t="s">
        <v>319</v>
      </c>
    </row>
    <row r="78" spans="2:9" ht="12.75">
      <c r="B78" s="76">
        <v>3</v>
      </c>
      <c r="C78" s="68" t="s">
        <v>324</v>
      </c>
      <c r="I78" s="59">
        <f>I76+I77+I75</f>
        <v>66333.89355742291</v>
      </c>
    </row>
    <row r="79" spans="2:8" ht="12.75">
      <c r="B79" s="76"/>
      <c r="C79" s="61" t="s">
        <v>277</v>
      </c>
      <c r="D79" s="59">
        <f>D60</f>
        <v>10000</v>
      </c>
      <c r="H79" s="68" t="s">
        <v>325</v>
      </c>
    </row>
    <row r="80" spans="2:9" ht="12.75">
      <c r="B80" s="76"/>
      <c r="C80" s="58" t="s">
        <v>8</v>
      </c>
      <c r="D80" s="73">
        <f>D81-D79</f>
        <v>1428.571428571433</v>
      </c>
      <c r="E80" s="79" t="s">
        <v>317</v>
      </c>
      <c r="F80" s="59">
        <f>D91+D87</f>
        <v>1428.5714285714248</v>
      </c>
      <c r="H80" s="59" t="s">
        <v>326</v>
      </c>
      <c r="I80" s="59">
        <f>I76*0.1</f>
        <v>62.857142857142755</v>
      </c>
    </row>
    <row r="81" spans="2:9" ht="12.75">
      <c r="B81" s="76"/>
      <c r="C81" s="61" t="s">
        <v>320</v>
      </c>
      <c r="D81" s="59">
        <f>(85000-165000*3/7)*0.8</f>
        <v>11428.571428571433</v>
      </c>
      <c r="G81" s="60"/>
      <c r="H81" s="59" t="s">
        <v>327</v>
      </c>
      <c r="I81" s="59">
        <f>(I77+I75)*0.1</f>
        <v>6570.532212885149</v>
      </c>
    </row>
    <row r="82" spans="2:9" ht="12.75">
      <c r="B82" s="76"/>
      <c r="H82" s="59" t="s">
        <v>311</v>
      </c>
      <c r="I82" s="59">
        <f>I78*0.1</f>
        <v>6633.389355742292</v>
      </c>
    </row>
    <row r="83" spans="2:3" ht="12.75">
      <c r="B83" s="76"/>
      <c r="C83" s="68" t="s">
        <v>328</v>
      </c>
    </row>
    <row r="84" spans="2:4" ht="12.75">
      <c r="B84" s="76"/>
      <c r="C84" s="59" t="s">
        <v>329</v>
      </c>
      <c r="D84" s="59">
        <f>165000*0.5/7</f>
        <v>11785.714285714286</v>
      </c>
    </row>
    <row r="85" spans="2:8" ht="12.75">
      <c r="B85" s="76"/>
      <c r="C85" s="59" t="s">
        <v>330</v>
      </c>
      <c r="D85" s="73">
        <f>95000*0.5/3.5</f>
        <v>13571.42857142857</v>
      </c>
      <c r="H85" s="81" t="s">
        <v>282</v>
      </c>
    </row>
    <row r="86" spans="2:9" ht="12.75">
      <c r="B86" s="76"/>
      <c r="D86" s="59">
        <f>D84-D85</f>
        <v>-1785.7142857142844</v>
      </c>
      <c r="G86" s="60"/>
      <c r="H86" s="59" t="s">
        <v>314</v>
      </c>
      <c r="I86" s="59">
        <f>C44</f>
        <v>506426.2991596639</v>
      </c>
    </row>
    <row r="87" spans="2:9" ht="12.75">
      <c r="B87" s="76"/>
      <c r="C87" s="59" t="s">
        <v>331</v>
      </c>
      <c r="D87" s="59">
        <f>D86*0.8</f>
        <v>-1428.5714285714275</v>
      </c>
      <c r="H87" s="59" t="s">
        <v>315</v>
      </c>
      <c r="I87" s="73">
        <f>I73+C20</f>
        <v>363750</v>
      </c>
    </row>
    <row r="88" spans="2:9" ht="12.75">
      <c r="B88" s="76"/>
      <c r="C88" s="68" t="s">
        <v>332</v>
      </c>
      <c r="H88" s="59" t="s">
        <v>316</v>
      </c>
      <c r="I88" s="59">
        <f>I86-I87</f>
        <v>142676.2991596639</v>
      </c>
    </row>
    <row r="89" spans="2:11" ht="12.75">
      <c r="B89" s="76"/>
      <c r="C89" s="59" t="s">
        <v>333</v>
      </c>
      <c r="D89" s="59">
        <v>0</v>
      </c>
      <c r="H89" s="59" t="s">
        <v>318</v>
      </c>
      <c r="I89" s="59">
        <f>I75</f>
        <v>30000</v>
      </c>
      <c r="K89" s="59" t="s">
        <v>319</v>
      </c>
    </row>
    <row r="90" spans="2:11" ht="12.75">
      <c r="B90" s="76"/>
      <c r="C90" s="59" t="s">
        <v>334</v>
      </c>
      <c r="D90" s="73">
        <f>(85000-95000*3/3.5)*0.8</f>
        <v>2857.1428571428523</v>
      </c>
      <c r="H90" s="59" t="s">
        <v>321</v>
      </c>
      <c r="I90" s="59">
        <f>C39</f>
        <v>1042.2857142857142</v>
      </c>
      <c r="K90" s="59" t="s">
        <v>322</v>
      </c>
    </row>
    <row r="91" spans="2:11" ht="12.75">
      <c r="B91" s="76"/>
      <c r="D91" s="59">
        <f>D90-D89</f>
        <v>2857.1428571428523</v>
      </c>
      <c r="H91" s="59" t="s">
        <v>323</v>
      </c>
      <c r="I91" s="73">
        <f>I88-I90-I89</f>
        <v>111634.0134453782</v>
      </c>
      <c r="J91" s="60"/>
      <c r="K91" s="59" t="s">
        <v>319</v>
      </c>
    </row>
    <row r="92" spans="2:10" ht="12.75">
      <c r="B92" s="76"/>
      <c r="I92" s="59">
        <f>I90+I91+I89</f>
        <v>142676.2991596639</v>
      </c>
      <c r="J92" s="60"/>
    </row>
    <row r="93" spans="2:8" ht="12.75">
      <c r="B93" s="76">
        <v>4</v>
      </c>
      <c r="C93" s="68" t="s">
        <v>335</v>
      </c>
      <c r="H93" s="68" t="s">
        <v>336</v>
      </c>
    </row>
    <row r="94" spans="2:11" ht="12.75">
      <c r="B94" s="76"/>
      <c r="C94" s="71" t="s">
        <v>337</v>
      </c>
      <c r="H94" s="59" t="s">
        <v>326</v>
      </c>
      <c r="I94" s="59">
        <f>(I90-I76)*0.1</f>
        <v>41.37142857142867</v>
      </c>
      <c r="K94" s="68" t="s">
        <v>338</v>
      </c>
    </row>
    <row r="95" spans="2:13" ht="12.75">
      <c r="B95" s="76"/>
      <c r="C95" s="59" t="s">
        <v>339</v>
      </c>
      <c r="D95" s="59">
        <f>-20000/0.8</f>
        <v>-25000</v>
      </c>
      <c r="E95" s="59" t="s">
        <v>300</v>
      </c>
      <c r="H95" s="59" t="s">
        <v>327</v>
      </c>
      <c r="I95" s="59">
        <f>(I91-I77)*0.1</f>
        <v>7592.869131652671</v>
      </c>
      <c r="K95" s="59" t="s">
        <v>340</v>
      </c>
      <c r="L95" s="59">
        <f>-C42*0.1</f>
        <v>1200</v>
      </c>
      <c r="M95" s="63"/>
    </row>
    <row r="96" spans="2:13" ht="12.75">
      <c r="B96" s="59" t="s">
        <v>341</v>
      </c>
      <c r="C96" s="59" t="s">
        <v>342</v>
      </c>
      <c r="D96" s="73">
        <f>D97-D95</f>
        <v>-5000</v>
      </c>
      <c r="E96" s="79" t="s">
        <v>317</v>
      </c>
      <c r="H96" s="59" t="s">
        <v>311</v>
      </c>
      <c r="I96" s="59">
        <f>(I92-I78)*0.1</f>
        <v>7634.2405602241</v>
      </c>
      <c r="K96" s="59" t="s">
        <v>343</v>
      </c>
      <c r="L96" s="59">
        <f>L95</f>
        <v>1200</v>
      </c>
      <c r="M96" s="63"/>
    </row>
    <row r="97" spans="2:4" ht="12.75">
      <c r="B97" s="76"/>
      <c r="D97" s="59">
        <f>(60000-90000)</f>
        <v>-30000</v>
      </c>
    </row>
    <row r="98" spans="2:8" ht="12.75">
      <c r="B98" s="76"/>
      <c r="G98" s="68" t="s">
        <v>344</v>
      </c>
      <c r="H98" s="68"/>
    </row>
    <row r="99" spans="2:9" ht="12.75">
      <c r="B99" s="76"/>
      <c r="C99" s="71" t="s">
        <v>345</v>
      </c>
      <c r="H99" s="82">
        <v>2012</v>
      </c>
      <c r="I99" s="82">
        <v>2013</v>
      </c>
    </row>
    <row r="100" spans="2:9" ht="12.75">
      <c r="B100" s="76"/>
      <c r="C100" s="59" t="s">
        <v>523</v>
      </c>
      <c r="D100" s="59">
        <f>D95*C3*0.8</f>
        <v>-4400</v>
      </c>
      <c r="F100" s="83" t="s">
        <v>346</v>
      </c>
      <c r="G100" s="59" t="s">
        <v>347</v>
      </c>
      <c r="H100" s="59">
        <f>C10+C12+C13+C14+C17+C18</f>
        <v>35705.322128851534</v>
      </c>
      <c r="I100" s="59">
        <f>C21+C23+C24+C27+C28+C30+C34+C36+C37+C40+C41+C43</f>
        <v>101894.91988795518</v>
      </c>
    </row>
    <row r="101" spans="2:9" ht="12.75">
      <c r="B101" s="76"/>
      <c r="C101" s="59" t="s">
        <v>348</v>
      </c>
      <c r="G101" s="59" t="s">
        <v>349</v>
      </c>
      <c r="H101" s="59">
        <f>I67</f>
        <v>30000</v>
      </c>
      <c r="I101" s="59">
        <f>-M30</f>
        <v>-14070.990476190345</v>
      </c>
    </row>
    <row r="102" spans="2:9" ht="12.75">
      <c r="B102" s="76"/>
      <c r="C102" s="59" t="s">
        <v>350</v>
      </c>
      <c r="D102" s="59">
        <f>-D100</f>
        <v>4400</v>
      </c>
      <c r="G102" s="59" t="s">
        <v>351</v>
      </c>
      <c r="H102" s="59">
        <f>I81</f>
        <v>6570.532212885149</v>
      </c>
      <c r="I102" s="59">
        <f>I95+L95</f>
        <v>8792.869131652671</v>
      </c>
    </row>
    <row r="103" spans="2:4" ht="12.75">
      <c r="B103" s="76"/>
      <c r="C103" s="59" t="s">
        <v>278</v>
      </c>
      <c r="D103" s="59">
        <f>D102</f>
        <v>4400</v>
      </c>
    </row>
    <row r="104" spans="2:9" ht="12.75">
      <c r="B104" s="76"/>
      <c r="F104" s="83" t="s">
        <v>352</v>
      </c>
      <c r="G104" s="59" t="s">
        <v>353</v>
      </c>
      <c r="H104" s="59">
        <f>C16-I80</f>
        <v>565.7142857142848</v>
      </c>
      <c r="I104" s="59">
        <f>C26+C39-I94</f>
        <v>477.1047619047626</v>
      </c>
    </row>
    <row r="105" ht="12.75">
      <c r="B105" s="76"/>
    </row>
    <row r="106" spans="2:3" ht="12.75">
      <c r="B106" s="76">
        <v>6</v>
      </c>
      <c r="C106" s="83" t="s">
        <v>354</v>
      </c>
    </row>
    <row r="107" spans="2:5" ht="12.75">
      <c r="B107" s="76"/>
      <c r="C107" s="83" t="s">
        <v>290</v>
      </c>
      <c r="E107" s="84" t="s">
        <v>355</v>
      </c>
    </row>
    <row r="108" spans="2:5" ht="12.75">
      <c r="B108" s="76"/>
      <c r="C108" s="59" t="s">
        <v>149</v>
      </c>
      <c r="E108" s="59">
        <f>1000/1600*150000</f>
        <v>93750</v>
      </c>
    </row>
    <row r="109" spans="2:4" ht="12.75">
      <c r="B109" s="76"/>
      <c r="C109" s="59" t="s">
        <v>356</v>
      </c>
      <c r="D109" s="59">
        <f>C3*D118</f>
        <v>229114.28571428574</v>
      </c>
    </row>
    <row r="110" spans="2:4" ht="12.75">
      <c r="B110" s="76"/>
      <c r="C110" s="59" t="s">
        <v>357</v>
      </c>
      <c r="D110" s="59">
        <f>C4*(D118+130000)</f>
        <v>292857.14285714284</v>
      </c>
    </row>
    <row r="111" spans="2:5" ht="12.75">
      <c r="B111" s="76"/>
      <c r="E111" s="73">
        <f>D110-D109</f>
        <v>63742.8571428571</v>
      </c>
    </row>
    <row r="112" spans="2:5" ht="12.75">
      <c r="B112" s="76"/>
      <c r="E112" s="59">
        <f>E108-E111</f>
        <v>30007.1428571429</v>
      </c>
    </row>
    <row r="113" ht="12.75">
      <c r="B113" s="76"/>
    </row>
    <row r="114" ht="12.75">
      <c r="B114" s="76"/>
    </row>
    <row r="115" spans="2:11" ht="12.75">
      <c r="B115" s="76"/>
      <c r="C115" s="71" t="s">
        <v>298</v>
      </c>
      <c r="K115" s="60"/>
    </row>
    <row r="116" spans="2:4" ht="12.75">
      <c r="B116" s="76"/>
      <c r="C116" s="59" t="s">
        <v>300</v>
      </c>
      <c r="D116" s="59">
        <f>K9</f>
        <v>1030000</v>
      </c>
    </row>
    <row r="117" spans="2:11" ht="12.75">
      <c r="B117" s="76"/>
      <c r="C117" s="59" t="s">
        <v>324</v>
      </c>
      <c r="D117" s="73">
        <f>D81</f>
        <v>11428.571428571433</v>
      </c>
      <c r="K117" s="60"/>
    </row>
    <row r="118" spans="2:4" ht="12.75">
      <c r="B118" s="76"/>
      <c r="D118" s="59">
        <f>D116+D117</f>
        <v>1041428.5714285715</v>
      </c>
    </row>
    <row r="119" spans="2:10" ht="12.75">
      <c r="B119" s="76"/>
      <c r="J119" s="80"/>
    </row>
    <row r="120" spans="2:3" ht="12.75">
      <c r="B120" s="76"/>
      <c r="C120" s="68" t="s">
        <v>307</v>
      </c>
    </row>
    <row r="121" spans="2:10" ht="12.75">
      <c r="B121" s="76"/>
      <c r="C121" s="59" t="s">
        <v>265</v>
      </c>
      <c r="D121" s="59">
        <f>(C4-C3)*(190000-250000*8/15)</f>
        <v>1699.9999999999995</v>
      </c>
      <c r="J121" s="80"/>
    </row>
    <row r="122" spans="2:4" ht="12.75">
      <c r="B122" s="76"/>
      <c r="C122" s="59" t="s">
        <v>214</v>
      </c>
      <c r="D122" s="59">
        <f>-D121*0.2</f>
        <v>-339.99999999999994</v>
      </c>
    </row>
    <row r="123" spans="2:4" ht="12.75">
      <c r="B123" s="76"/>
      <c r="C123" s="79" t="s">
        <v>217</v>
      </c>
      <c r="D123" s="73">
        <f>D124-D121-D122</f>
        <v>28647.1428571429</v>
      </c>
    </row>
    <row r="124" spans="2:4" ht="12.75">
      <c r="B124" s="76"/>
      <c r="D124" s="59">
        <f>E112</f>
        <v>30007.1428571429</v>
      </c>
    </row>
    <row r="125" ht="12.75">
      <c r="B125" s="76"/>
    </row>
    <row r="126" spans="2:3" ht="12.75">
      <c r="B126" s="76">
        <v>7</v>
      </c>
      <c r="C126" s="68" t="s">
        <v>260</v>
      </c>
    </row>
    <row r="127" spans="2:4" ht="12.75">
      <c r="B127" s="76"/>
      <c r="C127" s="61" t="s">
        <v>320</v>
      </c>
      <c r="D127" s="59">
        <f>D114</f>
        <v>0</v>
      </c>
    </row>
    <row r="128" spans="2:5" ht="12.75">
      <c r="B128" s="76"/>
      <c r="C128" s="58" t="s">
        <v>8</v>
      </c>
      <c r="D128" s="73">
        <f>D129-D127</f>
        <v>-3200</v>
      </c>
      <c r="E128" s="79" t="s">
        <v>317</v>
      </c>
    </row>
    <row r="129" spans="2:4" ht="12.75">
      <c r="B129" s="76"/>
      <c r="C129" s="61" t="s">
        <v>358</v>
      </c>
      <c r="D129" s="59">
        <f>(136000-140000)*0.8</f>
        <v>-3200</v>
      </c>
    </row>
    <row r="130" spans="2:13" ht="12.75">
      <c r="B130" s="76"/>
      <c r="M130" s="63"/>
    </row>
    <row r="131" spans="2:3" ht="12.75">
      <c r="B131" s="76">
        <v>8</v>
      </c>
      <c r="C131" s="68" t="s">
        <v>324</v>
      </c>
    </row>
    <row r="132" spans="2:4" ht="12.75">
      <c r="B132" s="76"/>
      <c r="C132" s="61" t="s">
        <v>320</v>
      </c>
      <c r="D132" s="59">
        <f>D81</f>
        <v>11428.571428571433</v>
      </c>
    </row>
    <row r="133" spans="2:6" ht="12.75">
      <c r="B133" s="76"/>
      <c r="C133" s="58" t="s">
        <v>8</v>
      </c>
      <c r="D133" s="73">
        <f>D134-D132</f>
        <v>-6571.428571428575</v>
      </c>
      <c r="E133" s="79" t="s">
        <v>317</v>
      </c>
      <c r="F133" s="59">
        <f>D144+D140</f>
        <v>-6571.428571428567</v>
      </c>
    </row>
    <row r="134" spans="2:4" ht="12.75">
      <c r="B134" s="76"/>
      <c r="C134" s="61" t="s">
        <v>358</v>
      </c>
      <c r="D134" s="59">
        <f>(65000-165000*2.5/7)*0.8</f>
        <v>4857.142857142858</v>
      </c>
    </row>
    <row r="135" ht="12.75">
      <c r="B135" s="76"/>
    </row>
    <row r="136" spans="2:3" ht="12.75">
      <c r="B136" s="76"/>
      <c r="C136" s="68" t="s">
        <v>328</v>
      </c>
    </row>
    <row r="137" spans="2:4" ht="12.75">
      <c r="B137" s="76"/>
      <c r="C137" s="59" t="s">
        <v>329</v>
      </c>
      <c r="D137" s="59">
        <f>165000*0.5/7</f>
        <v>11785.714285714286</v>
      </c>
    </row>
    <row r="138" spans="2:4" ht="12.75">
      <c r="B138" s="76"/>
      <c r="C138" s="59" t="s">
        <v>330</v>
      </c>
      <c r="D138" s="73">
        <f>85000*0.5/3</f>
        <v>14166.666666666666</v>
      </c>
    </row>
    <row r="139" spans="2:4" ht="12.75">
      <c r="B139" s="76"/>
      <c r="D139" s="59">
        <f>D137-D138</f>
        <v>-2380.95238095238</v>
      </c>
    </row>
    <row r="140" spans="2:4" ht="12.75">
      <c r="B140" s="76"/>
      <c r="C140" s="59" t="s">
        <v>331</v>
      </c>
      <c r="D140" s="59">
        <f>D139*0.8</f>
        <v>-1904.761904761904</v>
      </c>
    </row>
    <row r="141" spans="2:9" ht="12.75">
      <c r="B141" s="76"/>
      <c r="C141" s="68" t="s">
        <v>332</v>
      </c>
      <c r="I141" s="73" t="s">
        <v>359</v>
      </c>
    </row>
    <row r="142" spans="2:9" ht="12.75">
      <c r="B142" s="76"/>
      <c r="C142" s="59" t="s">
        <v>333</v>
      </c>
      <c r="D142" s="59">
        <v>0</v>
      </c>
      <c r="G142" s="59" t="s">
        <v>360</v>
      </c>
      <c r="I142" s="59">
        <f>D90*C3</f>
        <v>628.5714285714275</v>
      </c>
    </row>
    <row r="143" spans="2:12" ht="12.75">
      <c r="B143" s="76"/>
      <c r="C143" s="59" t="s">
        <v>334</v>
      </c>
      <c r="D143" s="73">
        <f>(65000-85000*2.5/3)*0.8</f>
        <v>-4666.666666666663</v>
      </c>
      <c r="G143" s="59" t="s">
        <v>361</v>
      </c>
      <c r="I143" s="59">
        <f>-I142*0.5/3</f>
        <v>-104.76190476190459</v>
      </c>
      <c r="L143" s="63"/>
    </row>
    <row r="144" spans="2:11" ht="12.75">
      <c r="B144" s="76"/>
      <c r="D144" s="59">
        <f>D143-D142</f>
        <v>-4666.666666666663</v>
      </c>
      <c r="G144" s="59" t="s">
        <v>267</v>
      </c>
      <c r="I144" s="73">
        <f>I145-I143-I142</f>
        <v>-523.809523809523</v>
      </c>
      <c r="K144" s="59">
        <f>0.03*D146</f>
        <v>-15.714285714285687</v>
      </c>
    </row>
    <row r="145" spans="2:9" ht="12.75">
      <c r="B145" s="76"/>
      <c r="C145" s="59" t="s">
        <v>362</v>
      </c>
      <c r="D145" s="59">
        <f>D144*0.25</f>
        <v>-1166.6666666666658</v>
      </c>
      <c r="G145" s="59" t="s">
        <v>363</v>
      </c>
      <c r="I145" s="59">
        <v>0</v>
      </c>
    </row>
    <row r="146" spans="2:5" ht="12.75">
      <c r="B146" s="76"/>
      <c r="C146" s="59" t="s">
        <v>322</v>
      </c>
      <c r="D146" s="59">
        <f>I144</f>
        <v>-523.809523809523</v>
      </c>
      <c r="E146" s="59" t="s">
        <v>364</v>
      </c>
    </row>
    <row r="147" spans="2:5" ht="12.75">
      <c r="B147" s="76"/>
      <c r="C147" s="59" t="s">
        <v>342</v>
      </c>
      <c r="D147" s="59">
        <f>D145-D146</f>
        <v>-642.8571428571429</v>
      </c>
      <c r="E147" s="79" t="s">
        <v>317</v>
      </c>
    </row>
    <row r="148" ht="12.75">
      <c r="B148" s="76"/>
    </row>
    <row r="149" spans="2:3" ht="12.75">
      <c r="B149" s="76">
        <v>9</v>
      </c>
      <c r="C149" s="68" t="s">
        <v>335</v>
      </c>
    </row>
    <row r="150" spans="2:3" ht="12.75">
      <c r="B150" s="76"/>
      <c r="C150" s="71" t="s">
        <v>337</v>
      </c>
    </row>
    <row r="151" spans="2:5" ht="12.75">
      <c r="B151" s="76"/>
      <c r="C151" s="59" t="s">
        <v>365</v>
      </c>
      <c r="D151" s="59">
        <f>65000-60000</f>
        <v>5000</v>
      </c>
      <c r="E151" s="59" t="s">
        <v>341</v>
      </c>
    </row>
    <row r="152" spans="2:11" ht="12.75">
      <c r="B152" s="76"/>
      <c r="K152" s="60"/>
    </row>
    <row r="153" spans="2:5" ht="12.75">
      <c r="B153" s="76"/>
      <c r="C153" s="59" t="s">
        <v>366</v>
      </c>
      <c r="D153" s="59">
        <v>0</v>
      </c>
      <c r="E153" s="59" t="s">
        <v>367</v>
      </c>
    </row>
    <row r="154" spans="2:11" ht="12.75">
      <c r="B154" s="76"/>
      <c r="K154" s="60"/>
    </row>
    <row r="155" spans="2:3" ht="12.75">
      <c r="B155" s="76">
        <v>10</v>
      </c>
      <c r="C155" s="68" t="s">
        <v>368</v>
      </c>
    </row>
    <row r="156" spans="2:10" ht="12.75">
      <c r="B156" s="76"/>
      <c r="C156" s="71" t="s">
        <v>337</v>
      </c>
      <c r="J156" s="80"/>
    </row>
    <row r="157" spans="2:4" ht="12.75">
      <c r="B157" s="76"/>
      <c r="C157" s="59" t="s">
        <v>369</v>
      </c>
      <c r="D157" s="59">
        <f>250000*7.5/15</f>
        <v>125000</v>
      </c>
    </row>
    <row r="158" spans="2:4" ht="12.75">
      <c r="B158" s="76"/>
      <c r="C158" s="59" t="s">
        <v>370</v>
      </c>
      <c r="D158" s="59">
        <f>130000</f>
        <v>130000</v>
      </c>
    </row>
    <row r="159" ht="12.75">
      <c r="B159" s="76"/>
    </row>
    <row r="160" spans="2:10" ht="12.75">
      <c r="B160" s="76"/>
      <c r="C160" s="59" t="s">
        <v>345</v>
      </c>
      <c r="J160" s="80"/>
    </row>
    <row r="161" spans="2:4" ht="12.75">
      <c r="B161" s="76"/>
      <c r="C161" s="59" t="s">
        <v>369</v>
      </c>
      <c r="D161" s="59">
        <f>190000*7.5/8.5*C3/C4+190000*7.5/8*0.03/C4</f>
        <v>168904.41176470587</v>
      </c>
    </row>
    <row r="162" spans="2:4" ht="12.75">
      <c r="B162" s="76"/>
      <c r="C162" s="59" t="s">
        <v>370</v>
      </c>
      <c r="D162" s="59">
        <v>130000</v>
      </c>
    </row>
    <row r="163" ht="12.75">
      <c r="B163" s="76"/>
    </row>
    <row r="164" spans="2:13" ht="12.75">
      <c r="B164" s="76"/>
      <c r="C164" s="59" t="s">
        <v>371</v>
      </c>
      <c r="D164" s="59">
        <f>(I13+D121)*7.5/8</f>
        <v>10976.102941176472</v>
      </c>
      <c r="M164" s="63"/>
    </row>
    <row r="165" spans="2:4" ht="12.75">
      <c r="B165" s="76"/>
      <c r="C165" s="59" t="s">
        <v>372</v>
      </c>
      <c r="D165" s="73">
        <f>(D162-D157)*C4</f>
        <v>1250</v>
      </c>
    </row>
    <row r="166" spans="2:4" ht="12.75">
      <c r="B166" s="76"/>
      <c r="C166" s="59" t="s">
        <v>373</v>
      </c>
      <c r="D166" s="59">
        <f>D164-D165</f>
        <v>9726.102941176472</v>
      </c>
    </row>
    <row r="167" ht="12.75">
      <c r="B167" s="76"/>
    </row>
    <row r="168" spans="2:3" ht="12.75">
      <c r="B168" s="76">
        <v>13</v>
      </c>
      <c r="C168" s="68" t="s">
        <v>260</v>
      </c>
    </row>
    <row r="169" spans="2:4" ht="12.75">
      <c r="B169" s="76"/>
      <c r="C169" s="61" t="s">
        <v>358</v>
      </c>
      <c r="D169" s="59">
        <f>D129</f>
        <v>-3200</v>
      </c>
    </row>
    <row r="170" spans="2:5" ht="12.75">
      <c r="B170" s="76"/>
      <c r="C170" s="58" t="s">
        <v>8</v>
      </c>
      <c r="D170" s="73">
        <f>D171-D169</f>
        <v>8800</v>
      </c>
      <c r="E170" s="79" t="s">
        <v>317</v>
      </c>
    </row>
    <row r="171" spans="2:4" ht="12.75">
      <c r="B171" s="76"/>
      <c r="C171" s="61" t="s">
        <v>374</v>
      </c>
      <c r="D171" s="59">
        <f>(140000-133000)*0.8</f>
        <v>5600</v>
      </c>
    </row>
    <row r="172" ht="12.75">
      <c r="B172" s="76"/>
    </row>
    <row r="173" spans="2:3" ht="12.75">
      <c r="B173" s="76">
        <v>14</v>
      </c>
      <c r="C173" s="68" t="s">
        <v>324</v>
      </c>
    </row>
    <row r="174" spans="2:4" ht="12.75">
      <c r="B174" s="76"/>
      <c r="C174" s="61" t="s">
        <v>358</v>
      </c>
      <c r="D174" s="59">
        <f>D134</f>
        <v>4857.142857142858</v>
      </c>
    </row>
    <row r="175" spans="2:6" ht="12.75">
      <c r="B175" s="76"/>
      <c r="C175" s="58" t="s">
        <v>8</v>
      </c>
      <c r="D175" s="73">
        <f>D176-D174</f>
        <v>5428.571428571427</v>
      </c>
      <c r="E175" s="79" t="s">
        <v>317</v>
      </c>
      <c r="F175" s="59">
        <f>D186+D182</f>
        <v>5428.571428571429</v>
      </c>
    </row>
    <row r="176" spans="2:4" ht="12.75">
      <c r="B176" s="76"/>
      <c r="C176" s="61" t="s">
        <v>374</v>
      </c>
      <c r="D176" s="59">
        <f>(60000-165000*2/7)*0.8</f>
        <v>10285.714285714284</v>
      </c>
    </row>
    <row r="177" ht="12.75">
      <c r="B177" s="76"/>
    </row>
    <row r="178" spans="2:3" ht="12.75">
      <c r="B178" s="76"/>
      <c r="C178" s="68" t="s">
        <v>328</v>
      </c>
    </row>
    <row r="179" spans="2:4" ht="12.75">
      <c r="B179" s="76"/>
      <c r="C179" s="59" t="s">
        <v>329</v>
      </c>
      <c r="D179" s="59">
        <f>165000*0.5/7</f>
        <v>11785.714285714286</v>
      </c>
    </row>
    <row r="180" spans="2:4" ht="12.75">
      <c r="B180" s="76"/>
      <c r="C180" s="59" t="s">
        <v>330</v>
      </c>
      <c r="D180" s="73">
        <f>65000*0.5/2.5</f>
        <v>13000</v>
      </c>
    </row>
    <row r="181" spans="2:4" ht="12.75">
      <c r="B181" s="76"/>
      <c r="D181" s="59">
        <f>D179-D180</f>
        <v>-1214.2857142857138</v>
      </c>
    </row>
    <row r="182" spans="2:4" ht="12.75">
      <c r="B182" s="76"/>
      <c r="C182" s="59" t="s">
        <v>331</v>
      </c>
      <c r="D182" s="59">
        <f>D181*0.8</f>
        <v>-971.4285714285711</v>
      </c>
    </row>
    <row r="183" spans="2:3" ht="12.75">
      <c r="B183" s="76"/>
      <c r="C183" s="68" t="s">
        <v>332</v>
      </c>
    </row>
    <row r="184" spans="2:4" ht="12.75">
      <c r="B184" s="76"/>
      <c r="C184" s="59" t="s">
        <v>333</v>
      </c>
      <c r="D184" s="59">
        <v>0</v>
      </c>
    </row>
    <row r="185" spans="2:4" ht="12.75">
      <c r="B185" s="76"/>
      <c r="C185" s="59" t="s">
        <v>334</v>
      </c>
      <c r="D185" s="73">
        <f>(60000-65000*2/2.5)*0.8</f>
        <v>6400</v>
      </c>
    </row>
    <row r="186" spans="2:4" ht="12.75">
      <c r="B186" s="76"/>
      <c r="D186" s="59">
        <f>D185-D184</f>
        <v>6400</v>
      </c>
    </row>
    <row r="187" spans="2:5" ht="12.75">
      <c r="B187" s="76"/>
      <c r="C187" s="59" t="s">
        <v>322</v>
      </c>
      <c r="D187" s="59">
        <f>D186*C5-D188</f>
        <v>1042.2857142857142</v>
      </c>
      <c r="E187" s="79" t="s">
        <v>317</v>
      </c>
    </row>
    <row r="188" spans="2:5" ht="12.75">
      <c r="B188" s="76"/>
      <c r="C188" s="59" t="s">
        <v>375</v>
      </c>
      <c r="D188" s="59">
        <f>-D147*2/2.5*C5/C4</f>
        <v>493.7142857142857</v>
      </c>
      <c r="E188" s="59" t="s">
        <v>376</v>
      </c>
    </row>
    <row r="189" ht="12.75">
      <c r="B189" s="76"/>
    </row>
    <row r="190" spans="2:3" ht="12.75">
      <c r="B190" s="76">
        <v>15</v>
      </c>
      <c r="C190" s="68" t="s">
        <v>377</v>
      </c>
    </row>
    <row r="191" spans="2:3" ht="12.75">
      <c r="B191" s="76"/>
      <c r="C191" s="71" t="s">
        <v>337</v>
      </c>
    </row>
    <row r="192" spans="2:4" ht="12.75">
      <c r="B192" s="76"/>
      <c r="C192" s="59" t="s">
        <v>369</v>
      </c>
      <c r="D192" s="59">
        <f>250000*7/15</f>
        <v>116666.66666666667</v>
      </c>
    </row>
    <row r="193" spans="2:4" ht="12.75">
      <c r="B193" s="76"/>
      <c r="C193" s="59" t="s">
        <v>370</v>
      </c>
      <c r="D193" s="59">
        <f>180000</f>
        <v>180000</v>
      </c>
    </row>
    <row r="194" ht="12.75">
      <c r="B194" s="76"/>
    </row>
    <row r="195" spans="2:3" ht="12.75">
      <c r="B195" s="76"/>
      <c r="C195" s="71" t="s">
        <v>345</v>
      </c>
    </row>
    <row r="196" spans="2:4" ht="12.75">
      <c r="B196" s="76"/>
      <c r="C196" s="59" t="s">
        <v>369</v>
      </c>
      <c r="D196" s="59">
        <f>190000*7/8.5*C3/C4+190000*7/8*0.03/C4</f>
        <v>157644.11764705883</v>
      </c>
    </row>
    <row r="197" spans="2:4" ht="12.75">
      <c r="B197" s="76"/>
      <c r="C197" s="59" t="s">
        <v>370</v>
      </c>
      <c r="D197" s="59">
        <v>180000</v>
      </c>
    </row>
    <row r="198" ht="12.75">
      <c r="B198" s="76"/>
    </row>
    <row r="199" spans="2:4" ht="12.75">
      <c r="B199" s="76"/>
      <c r="C199" s="59" t="s">
        <v>371</v>
      </c>
      <c r="D199" s="59">
        <f>I34*7/7.5</f>
        <v>1120</v>
      </c>
    </row>
    <row r="200" spans="2:4" ht="12.75">
      <c r="B200" s="76"/>
      <c r="C200" s="59" t="s">
        <v>372</v>
      </c>
      <c r="D200" s="73">
        <f>0.24*(D196-D192)</f>
        <v>9834.588235294117</v>
      </c>
    </row>
    <row r="201" spans="2:4" ht="12.75">
      <c r="B201" s="76"/>
      <c r="C201" s="59" t="s">
        <v>46</v>
      </c>
      <c r="D201" s="59">
        <f>D200-D199</f>
        <v>8714.588235294117</v>
      </c>
    </row>
    <row r="202" ht="12.75">
      <c r="B202" s="76"/>
    </row>
    <row r="203" ht="12.75">
      <c r="B203" s="76"/>
    </row>
    <row r="204" ht="12.75">
      <c r="B204" s="76"/>
    </row>
    <row r="205" ht="12.75">
      <c r="B205" s="76"/>
    </row>
    <row r="206" ht="12.75">
      <c r="B206" s="76"/>
    </row>
    <row r="207" ht="12.75">
      <c r="B207" s="76"/>
    </row>
    <row r="208" ht="12.75">
      <c r="B208" s="76"/>
    </row>
    <row r="209" ht="12.75">
      <c r="B209" s="76"/>
    </row>
    <row r="210" ht="12.75">
      <c r="B210" s="76"/>
    </row>
    <row r="211" ht="12.75">
      <c r="B211" s="76"/>
    </row>
    <row r="212" ht="12.75">
      <c r="B212" s="76"/>
    </row>
    <row r="213" ht="12.75">
      <c r="B213" s="76"/>
    </row>
    <row r="214" ht="12.75">
      <c r="B214" s="76"/>
    </row>
    <row r="215" ht="12.75">
      <c r="B215" s="76"/>
    </row>
    <row r="216" ht="12.75">
      <c r="B216" s="76"/>
    </row>
    <row r="217" ht="12.75">
      <c r="B217" s="76"/>
    </row>
    <row r="218" ht="12.75">
      <c r="B218" s="76"/>
    </row>
    <row r="219" ht="12.75">
      <c r="B219" s="76"/>
    </row>
    <row r="220" ht="12.75">
      <c r="B220" s="76"/>
    </row>
  </sheetData>
  <sheetProtection/>
  <printOptions/>
  <pageMargins left="0.35" right="0.18" top="0.57" bottom="1" header="0.5" footer="0.5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5"/>
  <sheetViews>
    <sheetView rightToLeft="1" tabSelected="1" zoomScalePageLayoutView="0" workbookViewId="0" topLeftCell="A19">
      <selection activeCell="D124" sqref="D124"/>
    </sheetView>
  </sheetViews>
  <sheetFormatPr defaultColWidth="9.140625" defaultRowHeight="15"/>
  <cols>
    <col min="2" max="2" width="12.421875" style="0" customWidth="1"/>
    <col min="3" max="3" width="12.28125" style="0" customWidth="1"/>
    <col min="4" max="4" width="26.28125" style="0" customWidth="1"/>
    <col min="5" max="5" width="11.421875" style="0" bestFit="1" customWidth="1"/>
    <col min="6" max="6" width="9.8515625" style="0" bestFit="1" customWidth="1"/>
    <col min="7" max="7" width="9.421875" style="0" bestFit="1" customWidth="1"/>
    <col min="8" max="8" width="10.8515625" style="0" bestFit="1" customWidth="1"/>
    <col min="9" max="9" width="11.421875" style="0" bestFit="1" customWidth="1"/>
    <col min="11" max="11" width="11.421875" style="0" bestFit="1" customWidth="1"/>
    <col min="13" max="13" width="12.00390625" style="0" customWidth="1"/>
    <col min="14" max="14" width="10.8515625" style="0" bestFit="1" customWidth="1"/>
  </cols>
  <sheetData>
    <row r="1" ht="15">
      <c r="A1" s="85"/>
    </row>
    <row r="2" spans="1:14" ht="15">
      <c r="A2" s="85"/>
      <c r="B2" s="87" t="s">
        <v>399</v>
      </c>
      <c r="C2" s="87"/>
      <c r="D2" s="87"/>
      <c r="L2" s="87" t="s">
        <v>400</v>
      </c>
      <c r="M2" s="87"/>
      <c r="N2" s="87"/>
    </row>
    <row r="3" ht="15">
      <c r="A3" s="85"/>
    </row>
    <row r="4" spans="1:16" ht="15">
      <c r="A4" s="85"/>
      <c r="B4" s="88" t="s">
        <v>401</v>
      </c>
      <c r="C4" s="88"/>
      <c r="D4" s="88"/>
      <c r="L4" s="88" t="s">
        <v>402</v>
      </c>
      <c r="M4" s="88"/>
      <c r="N4" s="88"/>
      <c r="P4" t="s">
        <v>403</v>
      </c>
    </row>
    <row r="5" spans="1:5" ht="15">
      <c r="A5" s="89">
        <v>1</v>
      </c>
      <c r="B5" t="s">
        <v>404</v>
      </c>
      <c r="C5" t="s">
        <v>405</v>
      </c>
      <c r="E5" s="26">
        <f>D78</f>
        <v>120000</v>
      </c>
    </row>
    <row r="6" spans="1:14" ht="15">
      <c r="A6" s="89">
        <v>2</v>
      </c>
      <c r="C6" t="s">
        <v>406</v>
      </c>
      <c r="D6" t="s">
        <v>407</v>
      </c>
      <c r="E6" s="26">
        <f>G102-G103</f>
        <v>-786.6000000000001</v>
      </c>
      <c r="L6" t="s">
        <v>408</v>
      </c>
      <c r="N6" s="26">
        <f>(SUM('[1]מאזני בוחן'!D3:D11)-(20000*3))*0.4</f>
        <v>150250</v>
      </c>
    </row>
    <row r="7" spans="1:14" ht="15">
      <c r="A7" s="85"/>
      <c r="D7" t="s">
        <v>71</v>
      </c>
      <c r="E7" s="26">
        <f>D86/4.5*0.75*-1</f>
        <v>-833.3333333333333</v>
      </c>
      <c r="L7" t="s">
        <v>240</v>
      </c>
      <c r="M7" t="s">
        <v>407</v>
      </c>
      <c r="N7" s="26">
        <f>G103*-1</f>
        <v>841.2</v>
      </c>
    </row>
    <row r="8" spans="1:14" ht="15">
      <c r="A8" s="89">
        <v>3</v>
      </c>
      <c r="C8" t="s">
        <v>409</v>
      </c>
      <c r="E8" s="26">
        <f>E115-5000*3.5/4.5*0.75</f>
        <v>-2916.6666666666665</v>
      </c>
      <c r="M8" t="s">
        <v>217</v>
      </c>
      <c r="N8" s="26">
        <f>D88</f>
        <v>16622.2</v>
      </c>
    </row>
    <row r="9" spans="1:14" ht="15">
      <c r="A9" s="85"/>
      <c r="C9" t="s">
        <v>410</v>
      </c>
      <c r="E9" s="26">
        <f>(SUM('[1]מאזני בוחן'!D17:D20)*0.4*-1)</f>
        <v>56000</v>
      </c>
      <c r="N9" s="26"/>
    </row>
    <row r="10" spans="1:16" ht="15">
      <c r="A10" s="89">
        <v>4</v>
      </c>
      <c r="C10" t="s">
        <v>527</v>
      </c>
      <c r="E10" s="26">
        <f>C122*0.4*-1</f>
        <v>-3750</v>
      </c>
      <c r="L10" t="s">
        <v>6</v>
      </c>
      <c r="N10" s="26">
        <f>SUM(N6:N8)</f>
        <v>167713.40000000002</v>
      </c>
      <c r="P10" s="55">
        <f>E13-N10</f>
        <v>0</v>
      </c>
    </row>
    <row r="11" spans="1:5" ht="15">
      <c r="A11" s="85"/>
      <c r="E11" s="26"/>
    </row>
    <row r="12" spans="1:5" ht="15">
      <c r="A12" s="85"/>
      <c r="E12" s="26"/>
    </row>
    <row r="13" spans="1:5" ht="15">
      <c r="A13" s="85"/>
      <c r="B13" t="s">
        <v>412</v>
      </c>
      <c r="C13" t="s">
        <v>413</v>
      </c>
      <c r="E13" s="26">
        <f>SUM(E5:E11)</f>
        <v>167713.4</v>
      </c>
    </row>
    <row r="14" spans="1:14" ht="15">
      <c r="A14" s="85"/>
      <c r="C14" t="s">
        <v>414</v>
      </c>
      <c r="E14" s="26">
        <f>E15-E13</f>
        <v>-23928.350000000006</v>
      </c>
      <c r="F14" t="s">
        <v>317</v>
      </c>
      <c r="L14" s="88" t="s">
        <v>415</v>
      </c>
      <c r="M14" s="88"/>
      <c r="N14" s="88"/>
    </row>
    <row r="15" spans="1:5" ht="15">
      <c r="A15" s="85"/>
      <c r="B15" t="s">
        <v>412</v>
      </c>
      <c r="C15" t="s">
        <v>416</v>
      </c>
      <c r="E15" s="26">
        <f>N20</f>
        <v>143785.05</v>
      </c>
    </row>
    <row r="16" spans="1:14" ht="15">
      <c r="A16" s="85"/>
      <c r="E16" s="26"/>
      <c r="L16" t="s">
        <v>408</v>
      </c>
      <c r="N16" s="26">
        <f>SUM('[1]מאזני בוחן'!D3:D11)*0.3</f>
        <v>130687.5</v>
      </c>
    </row>
    <row r="17" spans="1:14" ht="15">
      <c r="A17" s="89">
        <v>2</v>
      </c>
      <c r="C17" t="s">
        <v>417</v>
      </c>
      <c r="D17" t="s">
        <v>407</v>
      </c>
      <c r="E17" s="26">
        <f>G104-N17</f>
        <v>-630.9</v>
      </c>
      <c r="L17" t="s">
        <v>240</v>
      </c>
      <c r="M17" t="s">
        <v>407</v>
      </c>
      <c r="N17" s="26">
        <f>N7*0.3/0.4</f>
        <v>630.9</v>
      </c>
    </row>
    <row r="18" spans="1:14" ht="15">
      <c r="A18" s="89">
        <v>5</v>
      </c>
      <c r="C18" t="s">
        <v>410</v>
      </c>
      <c r="E18" s="26">
        <f>D129*0.3</f>
        <v>30000</v>
      </c>
      <c r="M18" t="s">
        <v>217</v>
      </c>
      <c r="N18" s="26">
        <f>N8*0.3/0.4</f>
        <v>12466.65</v>
      </c>
    </row>
    <row r="19" spans="1:14" ht="15">
      <c r="A19" s="85"/>
      <c r="E19" s="26"/>
      <c r="N19" s="26"/>
    </row>
    <row r="20" spans="1:14" ht="15">
      <c r="A20" s="85"/>
      <c r="B20" t="s">
        <v>418</v>
      </c>
      <c r="C20" t="s">
        <v>419</v>
      </c>
      <c r="E20" s="26">
        <f>SUM(E15:E18)</f>
        <v>173154.15</v>
      </c>
      <c r="L20" t="s">
        <v>6</v>
      </c>
      <c r="N20" s="26">
        <f>SUM(N16:N18)</f>
        <v>143785.05</v>
      </c>
    </row>
    <row r="21" spans="1:5" ht="15">
      <c r="A21" s="85"/>
      <c r="E21" s="26"/>
    </row>
    <row r="22" spans="1:13" ht="15">
      <c r="A22" s="85"/>
      <c r="L22" s="88" t="s">
        <v>420</v>
      </c>
      <c r="M22" s="88"/>
    </row>
    <row r="23" ht="15">
      <c r="A23" s="85"/>
    </row>
    <row r="24" spans="1:14" ht="15">
      <c r="A24" s="85"/>
      <c r="L24" t="s">
        <v>408</v>
      </c>
      <c r="N24" s="26">
        <f>535625*0.3</f>
        <v>160687.5</v>
      </c>
    </row>
    <row r="25" spans="1:14" ht="15">
      <c r="A25" s="85"/>
      <c r="L25" t="s">
        <v>240</v>
      </c>
      <c r="M25" t="s">
        <v>217</v>
      </c>
      <c r="N25" s="26">
        <f>N18</f>
        <v>12466.65</v>
      </c>
    </row>
    <row r="26" spans="1:14" ht="15">
      <c r="A26" s="85"/>
      <c r="B26" s="88" t="s">
        <v>421</v>
      </c>
      <c r="C26" s="88"/>
      <c r="D26" s="88"/>
      <c r="N26" s="26"/>
    </row>
    <row r="27" spans="1:16" ht="15">
      <c r="A27" s="89">
        <v>6</v>
      </c>
      <c r="B27" t="s">
        <v>404</v>
      </c>
      <c r="C27" t="s">
        <v>405</v>
      </c>
      <c r="E27" s="26">
        <f>E135</f>
        <v>150000</v>
      </c>
      <c r="L27" t="s">
        <v>6</v>
      </c>
      <c r="N27" s="26">
        <f>SUM(N24:N25)</f>
        <v>173154.15</v>
      </c>
      <c r="P27" s="55">
        <f>E20-N27</f>
        <v>0</v>
      </c>
    </row>
    <row r="28" spans="1:5" ht="15">
      <c r="A28" s="85"/>
      <c r="C28" t="s">
        <v>410</v>
      </c>
      <c r="E28" s="26">
        <f>SUM('[1]מאזני בוחן'!E17:E20)*6/12*0.3*-1</f>
        <v>10500</v>
      </c>
    </row>
    <row r="29" spans="1:5" ht="15">
      <c r="A29" s="85"/>
      <c r="C29" t="s">
        <v>422</v>
      </c>
      <c r="D29" t="s">
        <v>423</v>
      </c>
      <c r="E29" s="26">
        <f>E141*0.75*-1</f>
        <v>13500</v>
      </c>
    </row>
    <row r="30" spans="1:13" ht="15">
      <c r="A30" s="85"/>
      <c r="D30" t="s">
        <v>424</v>
      </c>
      <c r="E30" s="26">
        <f>E143*0.5/8*0.75*-1</f>
        <v>-70.3125</v>
      </c>
      <c r="L30" s="88" t="s">
        <v>425</v>
      </c>
      <c r="M30" s="88"/>
    </row>
    <row r="31" spans="1:5" ht="15">
      <c r="A31" s="85"/>
      <c r="E31" s="26"/>
    </row>
    <row r="32" spans="1:14" ht="15">
      <c r="A32" s="85"/>
      <c r="B32" t="s">
        <v>426</v>
      </c>
      <c r="C32" t="s">
        <v>413</v>
      </c>
      <c r="E32" s="26">
        <f>SUM(E27:E30)</f>
        <v>173929.6875</v>
      </c>
      <c r="L32" t="s">
        <v>408</v>
      </c>
      <c r="N32" s="26">
        <f>SUM('[1]מאזני בוחן'!E3:E11)*0.4</f>
        <v>294000.10000000003</v>
      </c>
    </row>
    <row r="33" spans="1:14" ht="15">
      <c r="A33" s="89">
        <v>8</v>
      </c>
      <c r="C33" t="s">
        <v>414</v>
      </c>
      <c r="E33" s="26">
        <f>E161</f>
        <v>100000</v>
      </c>
      <c r="N33" s="26"/>
    </row>
    <row r="34" spans="1:14" ht="15">
      <c r="A34" s="89">
        <v>8</v>
      </c>
      <c r="C34" t="s">
        <v>427</v>
      </c>
      <c r="E34" s="26">
        <f>E173*-1</f>
        <v>27187.5</v>
      </c>
      <c r="L34" t="s">
        <v>428</v>
      </c>
      <c r="M34" t="s">
        <v>429</v>
      </c>
      <c r="N34" s="26">
        <f>E169*0.75</f>
        <v>-1500</v>
      </c>
    </row>
    <row r="35" spans="1:14" ht="15">
      <c r="A35" s="85"/>
      <c r="B35" t="s">
        <v>426</v>
      </c>
      <c r="C35" t="s">
        <v>416</v>
      </c>
      <c r="E35" s="26">
        <f>SUM(E32:E34)</f>
        <v>301117.1875</v>
      </c>
      <c r="M35" t="s">
        <v>430</v>
      </c>
      <c r="N35" s="26">
        <f>E145</f>
        <v>27375</v>
      </c>
    </row>
    <row r="36" spans="1:14" ht="15">
      <c r="A36" s="85"/>
      <c r="E36" s="26"/>
      <c r="N36" s="26"/>
    </row>
    <row r="37" spans="1:14" ht="15">
      <c r="A37" s="85"/>
      <c r="C37" t="s">
        <v>410</v>
      </c>
      <c r="E37" s="26">
        <f>SUM('[1]מאזני בוחן'!E17:E20)*6/12*0.4*-1</f>
        <v>14000</v>
      </c>
      <c r="L37" t="s">
        <v>431</v>
      </c>
      <c r="N37" s="26">
        <f>(72500-D209)*0.3*0.4*0.75*7/7.25*-1</f>
        <v>-2802.1875</v>
      </c>
    </row>
    <row r="38" spans="1:14" ht="15">
      <c r="A38" s="85"/>
      <c r="C38" t="s">
        <v>417</v>
      </c>
      <c r="D38" t="s">
        <v>432</v>
      </c>
      <c r="E38" s="26">
        <f>E143*0.25/8*0.75*-1</f>
        <v>-35.15625</v>
      </c>
      <c r="F38" s="23"/>
      <c r="G38" s="23"/>
      <c r="H38" s="23"/>
      <c r="I38" s="23"/>
      <c r="J38" s="23" t="s">
        <v>433</v>
      </c>
      <c r="K38" s="23"/>
      <c r="L38" t="s">
        <v>434</v>
      </c>
      <c r="N38" s="26">
        <f>'[1]מאזני בוחן'!D3*0.3*0.4*0.3*0.75*-1</f>
        <v>-5400</v>
      </c>
    </row>
    <row r="39" spans="1:14" ht="15">
      <c r="A39" s="85"/>
      <c r="D39" t="s">
        <v>435</v>
      </c>
      <c r="E39" s="26">
        <f>E171*0.25/7.5*0.75*-1</f>
        <v>-6.25</v>
      </c>
      <c r="G39" t="s">
        <v>436</v>
      </c>
      <c r="J39" s="26">
        <f>(D209-50000*7.25/10)/7.25*0.25*0.75*0.4</f>
        <v>41.40624999999998</v>
      </c>
      <c r="N39" s="26"/>
    </row>
    <row r="40" spans="1:16" ht="15">
      <c r="A40" s="85"/>
      <c r="D40" t="s">
        <v>429</v>
      </c>
      <c r="E40" s="26">
        <v>0</v>
      </c>
      <c r="L40" t="s">
        <v>6</v>
      </c>
      <c r="N40" s="26">
        <f>SUM(N32:N38)</f>
        <v>311672.91250000003</v>
      </c>
      <c r="P40" s="55">
        <f>E49-N40</f>
        <v>0</v>
      </c>
    </row>
    <row r="41" spans="1:9" ht="15">
      <c r="A41" s="85"/>
      <c r="C41" t="s">
        <v>437</v>
      </c>
      <c r="D41" t="s">
        <v>438</v>
      </c>
      <c r="E41" s="26">
        <f>(E143*7.25/8*0.75+E171*7.25/7.5*0.75)*-1</f>
        <v>-1200.78125</v>
      </c>
      <c r="F41" s="23" t="s">
        <v>439</v>
      </c>
      <c r="G41" s="23"/>
      <c r="H41" s="23"/>
      <c r="I41" s="23"/>
    </row>
    <row r="42" spans="1:5" ht="15">
      <c r="A42" s="89">
        <v>12</v>
      </c>
      <c r="D42" t="s">
        <v>440</v>
      </c>
      <c r="E42" s="26">
        <f>(72500-D209)*0.4*0.4*0.75*-1</f>
        <v>-3869.687500000001</v>
      </c>
    </row>
    <row r="43" spans="1:5" ht="15">
      <c r="A43" s="85"/>
      <c r="D43" t="s">
        <v>441</v>
      </c>
      <c r="E43" s="26">
        <f>E42/7.25*0.25*-1</f>
        <v>133.43750000000003</v>
      </c>
    </row>
    <row r="44" spans="1:5" ht="15">
      <c r="A44" s="85"/>
      <c r="D44" t="s">
        <v>442</v>
      </c>
      <c r="E44" s="26">
        <f>E42*7/7.25*0.1/0.4*-1</f>
        <v>934.0625000000002</v>
      </c>
    </row>
    <row r="45" spans="1:5" ht="15">
      <c r="A45" s="85"/>
      <c r="C45" t="s">
        <v>443</v>
      </c>
      <c r="D45" t="s">
        <v>440</v>
      </c>
      <c r="E45" s="26">
        <f>(200000-200000*0.7)*0.4*0.4*0.75*-1</f>
        <v>-7200</v>
      </c>
    </row>
    <row r="46" spans="1:13" ht="15">
      <c r="A46" s="85"/>
      <c r="D46" t="s">
        <v>442</v>
      </c>
      <c r="E46" s="26">
        <f>E45*0.1/0.4*-1</f>
        <v>1800</v>
      </c>
      <c r="L46" s="88" t="s">
        <v>444</v>
      </c>
      <c r="M46" s="88"/>
    </row>
    <row r="47" spans="1:5" ht="15">
      <c r="A47" s="89">
        <v>9</v>
      </c>
      <c r="C47" t="s">
        <v>445</v>
      </c>
      <c r="E47" s="26">
        <f>D185*0.4*-1</f>
        <v>6000.1</v>
      </c>
    </row>
    <row r="48" spans="1:14" ht="15">
      <c r="A48" s="85"/>
      <c r="E48" s="26"/>
      <c r="L48" t="s">
        <v>408</v>
      </c>
      <c r="N48" s="26">
        <f>750000*0.4</f>
        <v>300000</v>
      </c>
    </row>
    <row r="49" spans="1:14" ht="15">
      <c r="A49" s="85"/>
      <c r="B49" t="s">
        <v>412</v>
      </c>
      <c r="C49" t="s">
        <v>419</v>
      </c>
      <c r="E49" s="26">
        <f>SUM(E35:E47)</f>
        <v>311672.9125</v>
      </c>
      <c r="N49" s="26"/>
    </row>
    <row r="50" spans="1:14" ht="15">
      <c r="A50" s="90"/>
      <c r="E50" s="26"/>
      <c r="L50" t="s">
        <v>428</v>
      </c>
      <c r="M50" t="s">
        <v>429</v>
      </c>
      <c r="N50" s="26">
        <v>0</v>
      </c>
    </row>
    <row r="51" spans="1:14" ht="15">
      <c r="A51" s="89">
        <v>10</v>
      </c>
      <c r="C51" t="s">
        <v>410</v>
      </c>
      <c r="E51" s="26">
        <f>D193*0.4</f>
        <v>56000</v>
      </c>
      <c r="M51" t="s">
        <v>430</v>
      </c>
      <c r="N51" s="26">
        <f>N35</f>
        <v>27375</v>
      </c>
    </row>
    <row r="52" spans="1:14" ht="15">
      <c r="A52" s="85"/>
      <c r="C52" t="s">
        <v>417</v>
      </c>
      <c r="D52" t="s">
        <v>429</v>
      </c>
      <c r="E52" s="26">
        <f>N34*-1</f>
        <v>1500</v>
      </c>
      <c r="N52" s="26"/>
    </row>
    <row r="53" spans="1:14" ht="15">
      <c r="A53" s="85"/>
      <c r="C53" t="s">
        <v>446</v>
      </c>
      <c r="E53" s="91">
        <f>N37/7*-1</f>
        <v>400.3125</v>
      </c>
      <c r="L53" t="s">
        <v>431</v>
      </c>
      <c r="N53" s="26">
        <f>N37*6/7</f>
        <v>-2401.875</v>
      </c>
    </row>
    <row r="54" spans="1:14" ht="15">
      <c r="A54" s="85"/>
      <c r="C54" t="s">
        <v>447</v>
      </c>
      <c r="D54" t="s">
        <v>448</v>
      </c>
      <c r="E54" s="26">
        <f>N38*0.5*-1</f>
        <v>2700</v>
      </c>
      <c r="F54" s="23" t="s">
        <v>449</v>
      </c>
      <c r="L54" t="s">
        <v>434</v>
      </c>
      <c r="N54" s="26">
        <f>E202</f>
        <v>-900</v>
      </c>
    </row>
    <row r="55" spans="1:14" ht="15">
      <c r="A55" s="89">
        <v>11</v>
      </c>
      <c r="D55" t="s">
        <v>450</v>
      </c>
      <c r="E55" s="26">
        <f>E201</f>
        <v>1800</v>
      </c>
      <c r="F55" s="23"/>
      <c r="N55" s="26"/>
    </row>
    <row r="56" spans="1:16" ht="15">
      <c r="A56" s="85"/>
      <c r="C56" t="s">
        <v>284</v>
      </c>
      <c r="E56" s="26">
        <f>D192*0.4</f>
        <v>-24000</v>
      </c>
      <c r="L56" t="s">
        <v>6</v>
      </c>
      <c r="N56" s="26">
        <f>SUM(N48:N54)</f>
        <v>324073.125</v>
      </c>
      <c r="P56" s="55">
        <f>E60-N56</f>
        <v>0</v>
      </c>
    </row>
    <row r="57" spans="1:16" ht="15">
      <c r="A57" s="89">
        <v>9</v>
      </c>
      <c r="C57" t="s">
        <v>524</v>
      </c>
      <c r="E57" s="26">
        <f>D187*0.4*-1-E58</f>
        <v>-20000</v>
      </c>
      <c r="F57" t="s">
        <v>526</v>
      </c>
      <c r="N57" s="26"/>
      <c r="P57" s="55"/>
    </row>
    <row r="58" spans="1:6" ht="15">
      <c r="A58" s="89">
        <v>9</v>
      </c>
      <c r="C58" t="s">
        <v>445</v>
      </c>
      <c r="E58" s="26">
        <f>E47*-1</f>
        <v>-6000.1</v>
      </c>
      <c r="F58" t="s">
        <v>525</v>
      </c>
    </row>
    <row r="59" spans="1:5" ht="15">
      <c r="A59" s="85"/>
      <c r="E59" s="26"/>
    </row>
    <row r="60" spans="1:5" ht="15">
      <c r="A60" s="85"/>
      <c r="B60" t="s">
        <v>418</v>
      </c>
      <c r="C60" t="s">
        <v>419</v>
      </c>
      <c r="E60" s="26">
        <f>SUM(E49:E58)</f>
        <v>324073.125</v>
      </c>
    </row>
    <row r="61" ht="15">
      <c r="A61" s="85"/>
    </row>
    <row r="62" ht="15">
      <c r="A62" s="85"/>
    </row>
    <row r="63" ht="15">
      <c r="A63" s="85"/>
    </row>
    <row r="64" ht="15">
      <c r="A64" s="85"/>
    </row>
    <row r="65" ht="15">
      <c r="A65" s="85"/>
    </row>
    <row r="66" ht="15">
      <c r="A66" s="85"/>
    </row>
    <row r="67" ht="15">
      <c r="A67" s="85"/>
    </row>
    <row r="68" spans="1:2" ht="15">
      <c r="A68" s="85"/>
      <c r="B68" s="88" t="s">
        <v>451</v>
      </c>
    </row>
    <row r="69" spans="1:6" ht="15">
      <c r="A69" s="85"/>
      <c r="E69" s="92" t="s">
        <v>452</v>
      </c>
      <c r="F69" s="92" t="s">
        <v>453</v>
      </c>
    </row>
    <row r="70" spans="1:6" ht="15">
      <c r="A70" s="85"/>
      <c r="B70" s="2" t="s">
        <v>454</v>
      </c>
      <c r="D70" t="s">
        <v>404</v>
      </c>
      <c r="E70" s="93">
        <f>8000/(40000-20000)</f>
        <v>0.4</v>
      </c>
      <c r="F70" s="93">
        <v>0.3</v>
      </c>
    </row>
    <row r="71" spans="1:6" ht="15">
      <c r="A71" s="85"/>
      <c r="D71" t="s">
        <v>426</v>
      </c>
      <c r="E71" s="93">
        <f>E70</f>
        <v>0.4</v>
      </c>
      <c r="F71" s="93">
        <f>(50000*0.3+25000)/100000</f>
        <v>0.4</v>
      </c>
    </row>
    <row r="72" spans="1:6" ht="15">
      <c r="A72" s="85"/>
      <c r="D72" t="s">
        <v>455</v>
      </c>
      <c r="E72" s="93">
        <f>(8000+20000*0.2)/40000</f>
        <v>0.3</v>
      </c>
      <c r="F72" s="93">
        <f>F71</f>
        <v>0.4</v>
      </c>
    </row>
    <row r="73" ht="15">
      <c r="A73" s="85"/>
    </row>
    <row r="74" ht="15">
      <c r="A74" s="85"/>
    </row>
    <row r="75" ht="15">
      <c r="A75" s="85"/>
    </row>
    <row r="76" spans="1:3" ht="15">
      <c r="A76" s="89">
        <v>1</v>
      </c>
      <c r="B76" s="2" t="s">
        <v>456</v>
      </c>
      <c r="C76" s="2" t="s">
        <v>457</v>
      </c>
    </row>
    <row r="77" ht="15">
      <c r="A77" s="85"/>
    </row>
    <row r="78" spans="1:4" ht="15">
      <c r="A78" s="85"/>
      <c r="C78" t="s">
        <v>149</v>
      </c>
      <c r="D78" s="26">
        <v>120000</v>
      </c>
    </row>
    <row r="79" spans="1:13" ht="15">
      <c r="A79" s="85"/>
      <c r="C79" t="s">
        <v>458</v>
      </c>
      <c r="D79" s="26">
        <f>M81*E70</f>
        <v>98000</v>
      </c>
      <c r="J79" t="s">
        <v>459</v>
      </c>
      <c r="M79" s="26">
        <f>40000+100000+120000+45000</f>
        <v>305000</v>
      </c>
    </row>
    <row r="80" spans="1:13" ht="15">
      <c r="A80" s="85"/>
      <c r="C80" t="s">
        <v>460</v>
      </c>
      <c r="D80" s="26">
        <f>D78-D79</f>
        <v>22000</v>
      </c>
      <c r="J80" t="s">
        <v>461</v>
      </c>
      <c r="M80" s="26">
        <f>20000+20000*2</f>
        <v>60000</v>
      </c>
    </row>
    <row r="81" spans="1:13" ht="15">
      <c r="A81" s="85"/>
      <c r="J81" t="s">
        <v>462</v>
      </c>
      <c r="M81" s="26">
        <f>M79-M80</f>
        <v>245000</v>
      </c>
    </row>
    <row r="82" ht="15">
      <c r="A82" s="85"/>
    </row>
    <row r="83" spans="1:3" ht="15">
      <c r="A83" s="85"/>
      <c r="C83" s="2" t="s">
        <v>463</v>
      </c>
    </row>
    <row r="84" spans="1:4" ht="15">
      <c r="A84" s="85"/>
      <c r="C84" t="s">
        <v>387</v>
      </c>
      <c r="D84" s="26">
        <f>G102/0.75*-1</f>
        <v>2170.4</v>
      </c>
    </row>
    <row r="85" spans="1:4" ht="15">
      <c r="A85" s="85"/>
      <c r="C85" t="s">
        <v>214</v>
      </c>
      <c r="D85" s="26">
        <f>D84*0.25*-1</f>
        <v>-542.6</v>
      </c>
    </row>
    <row r="86" spans="1:4" ht="15">
      <c r="A86" s="85"/>
      <c r="C86" t="s">
        <v>71</v>
      </c>
      <c r="D86" s="26">
        <f>D115*E70</f>
        <v>5000</v>
      </c>
    </row>
    <row r="87" spans="1:4" ht="15">
      <c r="A87" s="85"/>
      <c r="C87" t="s">
        <v>214</v>
      </c>
      <c r="D87" s="26">
        <f>D86*0.25*-1</f>
        <v>-1250</v>
      </c>
    </row>
    <row r="88" spans="1:4" ht="15">
      <c r="A88" s="85"/>
      <c r="C88" t="s">
        <v>217</v>
      </c>
      <c r="D88" s="26">
        <f>(SUM(D84:D87)-D89)*-1</f>
        <v>16622.2</v>
      </c>
    </row>
    <row r="89" spans="1:4" ht="15">
      <c r="A89" s="85"/>
      <c r="C89" t="s">
        <v>6</v>
      </c>
      <c r="D89" s="26">
        <f>D80</f>
        <v>22000</v>
      </c>
    </row>
    <row r="90" ht="15">
      <c r="A90" s="85"/>
    </row>
    <row r="91" ht="15">
      <c r="A91" s="85"/>
    </row>
    <row r="92" spans="1:2" ht="15">
      <c r="A92" s="89">
        <v>2</v>
      </c>
      <c r="B92" s="2" t="s">
        <v>387</v>
      </c>
    </row>
    <row r="93" ht="15">
      <c r="A93" s="85"/>
    </row>
    <row r="94" spans="1:10" ht="15">
      <c r="A94" s="85"/>
      <c r="B94" t="s">
        <v>209</v>
      </c>
      <c r="C94" t="s">
        <v>464</v>
      </c>
      <c r="I94" s="26">
        <f>'[1]מאזני בוחן'!D11</f>
        <v>-100952</v>
      </c>
      <c r="J94" t="s">
        <v>465</v>
      </c>
    </row>
    <row r="95" spans="1:10" ht="15">
      <c r="A95" s="85"/>
      <c r="I95" s="26">
        <v>1</v>
      </c>
      <c r="J95" t="s">
        <v>466</v>
      </c>
    </row>
    <row r="96" spans="1:10" ht="15">
      <c r="A96" s="85"/>
      <c r="I96" s="26">
        <f>100000*0.06</f>
        <v>6000</v>
      </c>
      <c r="J96" t="s">
        <v>467</v>
      </c>
    </row>
    <row r="97" spans="1:10" ht="15">
      <c r="A97" s="85"/>
      <c r="I97" s="26">
        <v>100000</v>
      </c>
      <c r="J97" t="s">
        <v>468</v>
      </c>
    </row>
    <row r="98" spans="1:10" ht="15">
      <c r="A98" s="85"/>
      <c r="I98" s="94">
        <v>0.05</v>
      </c>
      <c r="J98" t="s">
        <v>469</v>
      </c>
    </row>
    <row r="99" ht="15">
      <c r="A99" s="85"/>
    </row>
    <row r="100" spans="1:3" ht="15">
      <c r="A100" s="85"/>
      <c r="C100" t="s">
        <v>470</v>
      </c>
    </row>
    <row r="101" spans="1:7" ht="15">
      <c r="A101" s="85"/>
      <c r="E101" s="95">
        <f>I98</f>
        <v>0.05</v>
      </c>
      <c r="F101" s="94">
        <v>0.08</v>
      </c>
      <c r="G101" t="s">
        <v>471</v>
      </c>
    </row>
    <row r="102" spans="1:7" ht="15">
      <c r="A102" s="85"/>
      <c r="C102" t="s">
        <v>472</v>
      </c>
      <c r="D102" s="54" t="s">
        <v>212</v>
      </c>
      <c r="E102" s="26">
        <v>101859</v>
      </c>
      <c r="F102" s="26">
        <v>96433</v>
      </c>
      <c r="G102" s="26">
        <f>(F102-E102)*0.4*0.75</f>
        <v>-1627.8000000000002</v>
      </c>
    </row>
    <row r="103" spans="1:7" ht="15">
      <c r="A103" s="85"/>
      <c r="C103" t="s">
        <v>473</v>
      </c>
      <c r="D103" s="53" t="s">
        <v>412</v>
      </c>
      <c r="E103" s="26">
        <v>100952</v>
      </c>
      <c r="F103" s="26">
        <v>98148</v>
      </c>
      <c r="G103" s="26">
        <f>(F103-E103)*0.4*0.75</f>
        <v>-841.2</v>
      </c>
    </row>
    <row r="104" spans="1:7" ht="15">
      <c r="A104" s="85"/>
      <c r="C104" t="s">
        <v>474</v>
      </c>
      <c r="D104" s="53" t="s">
        <v>418</v>
      </c>
      <c r="E104" s="26">
        <v>0</v>
      </c>
      <c r="F104" s="26">
        <v>0</v>
      </c>
      <c r="G104" s="26">
        <f>(F104-E104)*0.4*0.75</f>
        <v>0</v>
      </c>
    </row>
    <row r="105" spans="1:4" ht="15">
      <c r="A105" s="85"/>
      <c r="D105" s="53"/>
    </row>
    <row r="106" ht="15">
      <c r="A106" s="85"/>
    </row>
    <row r="107" spans="1:3" ht="15">
      <c r="A107" s="89">
        <v>3</v>
      </c>
      <c r="B107" s="2" t="s">
        <v>71</v>
      </c>
      <c r="C107" t="s">
        <v>475</v>
      </c>
    </row>
    <row r="108" spans="1:5" ht="15">
      <c r="A108" s="85"/>
      <c r="D108" t="s">
        <v>212</v>
      </c>
      <c r="E108" t="s">
        <v>412</v>
      </c>
    </row>
    <row r="109" spans="1:5" ht="15">
      <c r="A109" s="85"/>
      <c r="B109" t="s">
        <v>476</v>
      </c>
      <c r="C109" t="s">
        <v>477</v>
      </c>
      <c r="D109" s="96">
        <f>650000*4.5/6</f>
        <v>487500</v>
      </c>
      <c r="E109" s="26">
        <f>650000*3.5/6</f>
        <v>379166.6666666667</v>
      </c>
    </row>
    <row r="110" spans="1:7" ht="15">
      <c r="A110" s="85"/>
      <c r="C110" t="s">
        <v>478</v>
      </c>
      <c r="D110" s="26">
        <v>500000</v>
      </c>
      <c r="E110" s="96">
        <f>'[1]מאזני בוחן'!D6</f>
        <v>350000</v>
      </c>
      <c r="G110" t="s">
        <v>479</v>
      </c>
    </row>
    <row r="111" spans="1:5" ht="15">
      <c r="A111" s="85"/>
      <c r="D111" s="26"/>
      <c r="E111" s="26"/>
    </row>
    <row r="112" spans="1:5" ht="15">
      <c r="A112" s="85"/>
      <c r="B112" t="s">
        <v>480</v>
      </c>
      <c r="C112" t="s">
        <v>477</v>
      </c>
      <c r="D112" s="96">
        <v>500000</v>
      </c>
      <c r="E112" s="26">
        <f>D112*3.5/4.5</f>
        <v>388888.8888888889</v>
      </c>
    </row>
    <row r="113" spans="1:5" ht="15">
      <c r="A113" s="85"/>
      <c r="C113" t="s">
        <v>478</v>
      </c>
      <c r="D113" s="26">
        <v>500000</v>
      </c>
      <c r="E113" s="96">
        <f>E110</f>
        <v>350000</v>
      </c>
    </row>
    <row r="114" ht="15">
      <c r="A114" s="85"/>
    </row>
    <row r="115" spans="1:5" ht="15">
      <c r="A115" s="85"/>
      <c r="B115" t="s">
        <v>481</v>
      </c>
      <c r="D115" s="55">
        <f>D112-D109</f>
        <v>12500</v>
      </c>
      <c r="E115" s="55">
        <f>E113-E110</f>
        <v>0</v>
      </c>
    </row>
    <row r="116" ht="15">
      <c r="A116" s="85"/>
    </row>
    <row r="117" ht="15">
      <c r="A117" s="85"/>
    </row>
    <row r="118" spans="1:2" ht="15">
      <c r="A118" s="89">
        <v>4</v>
      </c>
      <c r="B118" s="2" t="s">
        <v>411</v>
      </c>
    </row>
    <row r="119" spans="1:3" ht="15">
      <c r="A119" s="85"/>
      <c r="C119" t="s">
        <v>482</v>
      </c>
    </row>
    <row r="120" spans="1:9" ht="15">
      <c r="A120" s="85"/>
      <c r="B120" t="s">
        <v>404</v>
      </c>
      <c r="C120" s="26">
        <f>'[1]מאזני בוחן'!D16</f>
        <v>-45000</v>
      </c>
      <c r="E120" t="s">
        <v>483</v>
      </c>
      <c r="I120" t="s">
        <v>484</v>
      </c>
    </row>
    <row r="121" spans="1:9" ht="15">
      <c r="A121" s="85"/>
      <c r="B121" t="s">
        <v>485</v>
      </c>
      <c r="C121" s="26">
        <f>C120/8*-1</f>
        <v>5625</v>
      </c>
      <c r="H121" s="97">
        <v>300000</v>
      </c>
      <c r="I121" t="s">
        <v>486</v>
      </c>
    </row>
    <row r="122" spans="1:6" ht="15">
      <c r="A122" s="85"/>
      <c r="B122" t="s">
        <v>487</v>
      </c>
      <c r="C122" s="26">
        <f>C123-(C120+C121)</f>
        <v>9375</v>
      </c>
      <c r="D122" t="s">
        <v>317</v>
      </c>
      <c r="E122" t="s">
        <v>488</v>
      </c>
      <c r="F122" s="26">
        <f>('[1]מאזני בוחן'!D8-'[1]פתרון'!H120*7/8)*0.75*-1</f>
        <v>9375</v>
      </c>
    </row>
    <row r="123" spans="1:4" ht="15">
      <c r="A123" s="85"/>
      <c r="B123" t="s">
        <v>412</v>
      </c>
      <c r="C123" s="26">
        <f>('[1]מאזני בוחן'!D8-300000*7/10)*0.75*-1</f>
        <v>-30000</v>
      </c>
      <c r="D123" t="s">
        <v>528</v>
      </c>
    </row>
    <row r="124" ht="15">
      <c r="A124" s="85"/>
    </row>
    <row r="125" spans="1:2" ht="15">
      <c r="A125" s="85"/>
      <c r="B125" t="s">
        <v>489</v>
      </c>
    </row>
    <row r="126" ht="15">
      <c r="A126" s="85"/>
    </row>
    <row r="127" spans="1:4" ht="15">
      <c r="A127" s="89">
        <v>5</v>
      </c>
      <c r="B127" s="98" t="s">
        <v>410</v>
      </c>
      <c r="D127" t="s">
        <v>490</v>
      </c>
    </row>
    <row r="128" spans="1:4" ht="15">
      <c r="A128" s="85"/>
      <c r="C128" s="99" t="s">
        <v>412</v>
      </c>
      <c r="D128" s="26">
        <f>SUM('[1]מאזני בוחן'!D3:D11)</f>
        <v>435625</v>
      </c>
    </row>
    <row r="129" spans="1:5" ht="15">
      <c r="A129" s="85"/>
      <c r="C129" t="s">
        <v>491</v>
      </c>
      <c r="D129" s="26">
        <f>D130-D128</f>
        <v>100000</v>
      </c>
      <c r="E129" t="s">
        <v>317</v>
      </c>
    </row>
    <row r="130" spans="1:5" ht="15">
      <c r="A130" s="85"/>
      <c r="C130" t="s">
        <v>418</v>
      </c>
      <c r="D130" s="26">
        <v>535625</v>
      </c>
      <c r="E130" t="s">
        <v>300</v>
      </c>
    </row>
    <row r="131" ht="15">
      <c r="A131" s="85"/>
    </row>
    <row r="132" ht="15">
      <c r="A132" s="85"/>
    </row>
    <row r="133" spans="1:3" ht="15">
      <c r="A133" s="89">
        <v>6</v>
      </c>
      <c r="B133" s="2" t="s">
        <v>404</v>
      </c>
      <c r="C133" s="2" t="s">
        <v>492</v>
      </c>
    </row>
    <row r="134" spans="1:11" ht="15">
      <c r="A134" s="85"/>
      <c r="K134" s="26"/>
    </row>
    <row r="135" spans="1:11" ht="15">
      <c r="A135" s="85"/>
      <c r="C135" t="s">
        <v>149</v>
      </c>
      <c r="D135" s="23"/>
      <c r="E135" s="100">
        <v>150000</v>
      </c>
      <c r="F135" s="23"/>
      <c r="G135" s="23"/>
      <c r="H135" s="23"/>
      <c r="K135" s="26"/>
    </row>
    <row r="136" spans="1:11" ht="15">
      <c r="A136" s="85"/>
      <c r="C136" t="s">
        <v>493</v>
      </c>
      <c r="D136" s="23"/>
      <c r="E136" s="100">
        <f>(SUM('[1]מאזני בוחן'!E12:E16)+200000)*0.3</f>
        <v>-135000</v>
      </c>
      <c r="F136" s="23"/>
      <c r="G136" s="23"/>
      <c r="H136" s="23"/>
      <c r="K136" s="26"/>
    </row>
    <row r="137" spans="1:5" ht="15">
      <c r="A137" s="85"/>
      <c r="C137" t="s">
        <v>460</v>
      </c>
      <c r="E137" s="26">
        <f>E135+E136</f>
        <v>15000</v>
      </c>
    </row>
    <row r="138" spans="1:5" ht="15">
      <c r="A138" s="85"/>
      <c r="E138" s="26"/>
    </row>
    <row r="139" spans="1:5" ht="15">
      <c r="A139" s="85"/>
      <c r="E139" s="26"/>
    </row>
    <row r="140" spans="1:5" ht="15">
      <c r="A140" s="85"/>
      <c r="C140" t="s">
        <v>463</v>
      </c>
      <c r="E140" s="26"/>
    </row>
    <row r="141" spans="1:5" ht="15">
      <c r="A141" s="85"/>
      <c r="C141" t="s">
        <v>423</v>
      </c>
      <c r="E141" s="26">
        <f>(60000-0)*0.3*-1</f>
        <v>-18000</v>
      </c>
    </row>
    <row r="142" spans="1:5" ht="15">
      <c r="A142" s="85"/>
      <c r="C142" t="s">
        <v>214</v>
      </c>
      <c r="E142" s="26">
        <f>E141*0.25*-1</f>
        <v>4500</v>
      </c>
    </row>
    <row r="143" spans="1:5" ht="15">
      <c r="A143" s="85"/>
      <c r="C143" t="s">
        <v>424</v>
      </c>
      <c r="E143" s="26">
        <f>(45000-50000*8/E156)*0.3</f>
        <v>1500</v>
      </c>
    </row>
    <row r="144" spans="1:5" ht="15">
      <c r="A144" s="85"/>
      <c r="C144" t="s">
        <v>214</v>
      </c>
      <c r="E144" s="26">
        <f>E143*0.25*-1</f>
        <v>-375</v>
      </c>
    </row>
    <row r="145" spans="1:6" ht="15">
      <c r="A145" s="85"/>
      <c r="C145" t="s">
        <v>217</v>
      </c>
      <c r="E145" s="26">
        <f>E146-SUM(E141:E144)</f>
        <v>27375</v>
      </c>
      <c r="F145" t="s">
        <v>317</v>
      </c>
    </row>
    <row r="146" spans="1:5" ht="15">
      <c r="A146" s="85"/>
      <c r="C146" t="s">
        <v>494</v>
      </c>
      <c r="E146" s="26">
        <f>E137</f>
        <v>15000</v>
      </c>
    </row>
    <row r="147" ht="15">
      <c r="A147" s="85"/>
    </row>
    <row r="148" ht="15">
      <c r="A148" s="85"/>
    </row>
    <row r="149" ht="15">
      <c r="A149" s="85"/>
    </row>
    <row r="150" spans="1:2" ht="15">
      <c r="A150" s="89">
        <v>7</v>
      </c>
      <c r="B150" s="2" t="s">
        <v>424</v>
      </c>
    </row>
    <row r="151" spans="1:3" ht="15">
      <c r="A151" s="85"/>
      <c r="C151" t="s">
        <v>495</v>
      </c>
    </row>
    <row r="152" spans="1:5" ht="15">
      <c r="A152" s="85"/>
      <c r="C152" t="s">
        <v>496</v>
      </c>
      <c r="E152" t="s">
        <v>486</v>
      </c>
    </row>
    <row r="153" ht="15">
      <c r="A153" s="85"/>
    </row>
    <row r="154" spans="1:5" ht="15">
      <c r="A154" s="85"/>
      <c r="E154" t="s">
        <v>497</v>
      </c>
    </row>
    <row r="155" spans="1:5" ht="15">
      <c r="A155" s="85"/>
      <c r="D155">
        <v>7.25</v>
      </c>
      <c r="E155" t="s">
        <v>486</v>
      </c>
    </row>
    <row r="156" spans="1:5" ht="15">
      <c r="A156" s="85"/>
      <c r="C156" t="s">
        <v>498</v>
      </c>
      <c r="E156">
        <f>D155+2.75</f>
        <v>10</v>
      </c>
    </row>
    <row r="157" ht="15">
      <c r="A157" s="85"/>
    </row>
    <row r="158" ht="15">
      <c r="A158" s="85"/>
    </row>
    <row r="159" spans="1:3" ht="15">
      <c r="A159" s="89">
        <v>8</v>
      </c>
      <c r="B159" s="2" t="s">
        <v>426</v>
      </c>
      <c r="C159" s="2" t="s">
        <v>492</v>
      </c>
    </row>
    <row r="160" ht="15">
      <c r="A160" s="85"/>
    </row>
    <row r="161" spans="1:5" ht="15">
      <c r="A161" s="85"/>
      <c r="C161" t="s">
        <v>149</v>
      </c>
      <c r="E161" s="26">
        <f>200000*25000/50000</f>
        <v>100000</v>
      </c>
    </row>
    <row r="162" spans="1:8" ht="15">
      <c r="A162" s="85"/>
      <c r="C162" t="s">
        <v>499</v>
      </c>
      <c r="D162" t="s">
        <v>500</v>
      </c>
      <c r="E162" s="26">
        <f>K166*0.3</f>
        <v>145500</v>
      </c>
      <c r="H162" t="s">
        <v>501</v>
      </c>
    </row>
    <row r="163" spans="1:11" ht="15">
      <c r="A163" s="85"/>
      <c r="D163" t="s">
        <v>502</v>
      </c>
      <c r="E163" s="26">
        <f>(K166+200000)*0.4</f>
        <v>274000</v>
      </c>
      <c r="I163" t="s">
        <v>503</v>
      </c>
      <c r="K163" s="26">
        <f>SUM('[1]מאזני בוחן'!E12:E16)*-1</f>
        <v>650000</v>
      </c>
    </row>
    <row r="164" spans="1:11" ht="15">
      <c r="A164" s="85"/>
      <c r="D164" t="s">
        <v>504</v>
      </c>
      <c r="E164" s="26">
        <f>E163-E162</f>
        <v>128500</v>
      </c>
      <c r="I164" t="s">
        <v>505</v>
      </c>
      <c r="K164" s="26">
        <v>-200000</v>
      </c>
    </row>
    <row r="165" spans="1:11" ht="15">
      <c r="A165" s="85"/>
      <c r="C165" t="s">
        <v>460</v>
      </c>
      <c r="E165" s="26">
        <f>E161-E164</f>
        <v>-28500</v>
      </c>
      <c r="I165" t="s">
        <v>506</v>
      </c>
      <c r="K165" s="26">
        <f>SUM('[1]מאזני בוחן'!E17:E20)*6/12*-1</f>
        <v>35000</v>
      </c>
    </row>
    <row r="166" spans="1:11" ht="15">
      <c r="A166" s="85"/>
      <c r="E166" s="26"/>
      <c r="I166" t="s">
        <v>6</v>
      </c>
      <c r="K166" s="26">
        <f>SUM(K163:K165)</f>
        <v>485000</v>
      </c>
    </row>
    <row r="167" spans="1:5" ht="15">
      <c r="A167" s="85"/>
      <c r="E167" s="26"/>
    </row>
    <row r="168" spans="1:5" ht="15">
      <c r="A168" s="85"/>
      <c r="C168" t="s">
        <v>507</v>
      </c>
      <c r="E168" s="26"/>
    </row>
    <row r="169" spans="1:5" ht="15">
      <c r="A169" s="85"/>
      <c r="D169" t="s">
        <v>423</v>
      </c>
      <c r="E169" s="26">
        <f>(90000+'[1]מאזני בוחן'!E10)*0.1*-1</f>
        <v>-2000</v>
      </c>
    </row>
    <row r="170" spans="1:5" ht="15">
      <c r="A170" s="85"/>
      <c r="D170" t="s">
        <v>214</v>
      </c>
      <c r="E170" s="26">
        <f>E169*0.25*-1</f>
        <v>500</v>
      </c>
    </row>
    <row r="171" spans="1:5" ht="15">
      <c r="A171" s="85"/>
      <c r="D171" t="s">
        <v>424</v>
      </c>
      <c r="E171" s="26">
        <f>(40000-50000*7.5/10)*0.1</f>
        <v>250</v>
      </c>
    </row>
    <row r="172" spans="1:5" ht="15">
      <c r="A172" s="85"/>
      <c r="D172" t="s">
        <v>214</v>
      </c>
      <c r="E172" s="26">
        <f>E171*0.25*-1</f>
        <v>-62.5</v>
      </c>
    </row>
    <row r="173" spans="1:5" ht="15">
      <c r="A173" s="85"/>
      <c r="D173" t="s">
        <v>217</v>
      </c>
      <c r="E173" s="26">
        <f>E174-SUM(E169:E172)</f>
        <v>-27187.5</v>
      </c>
    </row>
    <row r="174" spans="1:5" ht="15">
      <c r="A174" s="85"/>
      <c r="D174" t="s">
        <v>6</v>
      </c>
      <c r="E174" s="26">
        <f>E165</f>
        <v>-28500</v>
      </c>
    </row>
    <row r="175" ht="15">
      <c r="A175" s="85"/>
    </row>
    <row r="176" ht="15">
      <c r="A176" s="85"/>
    </row>
    <row r="177" spans="1:2" ht="15">
      <c r="A177" s="89">
        <v>9</v>
      </c>
      <c r="B177" s="2" t="s">
        <v>445</v>
      </c>
    </row>
    <row r="178" ht="15">
      <c r="A178" s="85"/>
    </row>
    <row r="179" spans="1:3" ht="15">
      <c r="A179" s="85"/>
      <c r="C179" t="s">
        <v>508</v>
      </c>
    </row>
    <row r="180" spans="1:5" ht="15">
      <c r="A180" s="85"/>
      <c r="E180" t="s">
        <v>509</v>
      </c>
    </row>
    <row r="181" spans="1:5" ht="15">
      <c r="A181" s="85"/>
      <c r="D181" s="26">
        <v>233333</v>
      </c>
      <c r="E181" t="s">
        <v>486</v>
      </c>
    </row>
    <row r="182" ht="15">
      <c r="A182" s="85"/>
    </row>
    <row r="183" spans="1:3" ht="15">
      <c r="A183" s="85"/>
      <c r="C183" t="s">
        <v>510</v>
      </c>
    </row>
    <row r="184" spans="1:4" ht="15">
      <c r="A184" s="85"/>
      <c r="C184" t="s">
        <v>404</v>
      </c>
      <c r="D184" s="26">
        <f>'[1]מאזני בוחן'!E15</f>
        <v>-50000</v>
      </c>
    </row>
    <row r="185" spans="1:4" ht="15">
      <c r="A185" s="85"/>
      <c r="C185" t="s">
        <v>267</v>
      </c>
      <c r="D185" s="26">
        <f>D186-D184</f>
        <v>-15000.25</v>
      </c>
    </row>
    <row r="186" spans="1:4" ht="15">
      <c r="A186" s="85"/>
      <c r="C186" t="s">
        <v>412</v>
      </c>
      <c r="D186" s="26">
        <f>('[1]מאזני בוחן'!E5-'[1]פתרון'!D180)*0.75*-1</f>
        <v>-65000.25</v>
      </c>
    </row>
    <row r="187" spans="1:4" ht="15">
      <c r="A187" s="85"/>
      <c r="C187" t="s">
        <v>511</v>
      </c>
      <c r="D187" s="26">
        <f>D188-D186</f>
        <v>65000.25</v>
      </c>
    </row>
    <row r="188" spans="1:4" ht="15">
      <c r="A188" s="85"/>
      <c r="C188" t="s">
        <v>512</v>
      </c>
      <c r="D188" s="26">
        <v>0</v>
      </c>
    </row>
    <row r="189" ht="15">
      <c r="A189" s="85"/>
    </row>
    <row r="190" spans="1:2" ht="15">
      <c r="A190" s="89">
        <v>10</v>
      </c>
      <c r="B190" s="2" t="s">
        <v>410</v>
      </c>
    </row>
    <row r="191" spans="1:4" ht="15">
      <c r="A191" s="85"/>
      <c r="C191" t="s">
        <v>412</v>
      </c>
      <c r="D191" s="26">
        <f>SUM('[1]מאזני בוחן'!E3:E11)</f>
        <v>735000.25</v>
      </c>
    </row>
    <row r="192" spans="1:5" ht="15">
      <c r="A192" s="85"/>
      <c r="C192" t="s">
        <v>284</v>
      </c>
      <c r="D192" s="26">
        <v>-60000</v>
      </c>
      <c r="E192" t="s">
        <v>300</v>
      </c>
    </row>
    <row r="193" spans="1:5" ht="15">
      <c r="A193" s="85"/>
      <c r="C193" t="s">
        <v>491</v>
      </c>
      <c r="D193" s="26">
        <f>D195-D191-D192-D194</f>
        <v>140000</v>
      </c>
      <c r="E193" t="s">
        <v>317</v>
      </c>
    </row>
    <row r="194" spans="1:4" ht="15">
      <c r="A194" s="85"/>
      <c r="C194" t="s">
        <v>513</v>
      </c>
      <c r="D194" s="26">
        <f>D187*-1</f>
        <v>-65000.25</v>
      </c>
    </row>
    <row r="195" spans="1:5" ht="15">
      <c r="A195" s="85"/>
      <c r="C195" t="s">
        <v>418</v>
      </c>
      <c r="D195" s="26">
        <v>750000</v>
      </c>
      <c r="E195" t="s">
        <v>300</v>
      </c>
    </row>
    <row r="196" ht="15">
      <c r="A196" s="85"/>
    </row>
    <row r="197" ht="15">
      <c r="A197" s="85"/>
    </row>
    <row r="198" spans="1:2" ht="15">
      <c r="A198" s="89">
        <v>11</v>
      </c>
      <c r="B198" s="2" t="s">
        <v>514</v>
      </c>
    </row>
    <row r="199" spans="1:3" ht="15">
      <c r="A199" s="85"/>
      <c r="C199" t="s">
        <v>515</v>
      </c>
    </row>
    <row r="200" spans="1:5" ht="15">
      <c r="A200" s="85"/>
      <c r="C200" t="s">
        <v>516</v>
      </c>
      <c r="D200" t="s">
        <v>517</v>
      </c>
      <c r="E200" s="26">
        <f>(200000-200000*0.7)*0.5*0.75*0.4*0.3*-1</f>
        <v>-2700</v>
      </c>
    </row>
    <row r="201" spans="1:6" ht="15">
      <c r="A201" s="85"/>
      <c r="D201" t="s">
        <v>518</v>
      </c>
      <c r="E201" s="26">
        <f>E202-E200</f>
        <v>1800</v>
      </c>
      <c r="F201" t="s">
        <v>317</v>
      </c>
    </row>
    <row r="202" spans="1:5" ht="15">
      <c r="A202" s="85"/>
      <c r="D202" t="s">
        <v>519</v>
      </c>
      <c r="E202" s="26">
        <f>(80000-200000*0.7*0.5)*0.75*0.4*0.3*-1</f>
        <v>-900</v>
      </c>
    </row>
    <row r="203" ht="15">
      <c r="A203" s="85"/>
    </row>
    <row r="204" ht="15">
      <c r="A204" s="85"/>
    </row>
    <row r="205" ht="15">
      <c r="A205" s="85"/>
    </row>
    <row r="206" spans="1:2" ht="15">
      <c r="A206" s="89">
        <v>12</v>
      </c>
      <c r="B206" s="2" t="s">
        <v>520</v>
      </c>
    </row>
    <row r="207" spans="1:3" ht="15">
      <c r="A207" s="85"/>
      <c r="C207" t="s">
        <v>521</v>
      </c>
    </row>
    <row r="208" ht="15">
      <c r="A208" s="85"/>
    </row>
    <row r="209" spans="1:4" ht="15">
      <c r="A209" s="85"/>
      <c r="D209" s="26">
        <f>45000*7.25/8*0.3/0.4+40000*7.25/7.5*0.1/0.4</f>
        <v>40252.604166666664</v>
      </c>
    </row>
    <row r="210" ht="15">
      <c r="A210" s="85"/>
    </row>
    <row r="211" ht="15">
      <c r="A211" s="85"/>
    </row>
    <row r="212" ht="15">
      <c r="A212" s="85"/>
    </row>
    <row r="213" ht="15">
      <c r="A213" s="85"/>
    </row>
    <row r="214" ht="15">
      <c r="A214" s="85"/>
    </row>
    <row r="215" ht="15">
      <c r="A215" s="85"/>
    </row>
    <row r="216" ht="15">
      <c r="A216" s="85"/>
    </row>
    <row r="217" ht="15">
      <c r="A217" s="85"/>
    </row>
    <row r="218" ht="15">
      <c r="A218" s="85"/>
    </row>
    <row r="219" ht="15">
      <c r="A219" s="85"/>
    </row>
    <row r="220" ht="15">
      <c r="A220" s="85"/>
    </row>
    <row r="221" ht="15">
      <c r="A221" s="85"/>
    </row>
    <row r="222" ht="15">
      <c r="A222" s="85"/>
    </row>
    <row r="223" ht="15">
      <c r="A223" s="85"/>
    </row>
    <row r="224" ht="15">
      <c r="A224" s="85"/>
    </row>
    <row r="225" ht="15">
      <c r="A225" s="85"/>
    </row>
    <row r="226" ht="15">
      <c r="A226" s="85"/>
    </row>
    <row r="227" ht="15">
      <c r="A227" s="85"/>
    </row>
    <row r="228" ht="15">
      <c r="A228" s="85"/>
    </row>
    <row r="229" ht="15">
      <c r="A229" s="85"/>
    </row>
    <row r="230" ht="15">
      <c r="A230" s="85"/>
    </row>
    <row r="231" ht="15">
      <c r="A231" s="85"/>
    </row>
    <row r="232" ht="15">
      <c r="A232" s="85"/>
    </row>
    <row r="233" ht="15">
      <c r="A233" s="85"/>
    </row>
    <row r="234" ht="15">
      <c r="A234" s="85"/>
    </row>
    <row r="235" ht="15">
      <c r="A235" s="85"/>
    </row>
    <row r="236" ht="15">
      <c r="A236" s="85"/>
    </row>
    <row r="237" ht="15">
      <c r="A237" s="85"/>
    </row>
    <row r="238" ht="15">
      <c r="A238" s="85"/>
    </row>
    <row r="239" ht="15">
      <c r="A239" s="85"/>
    </row>
    <row r="240" ht="15">
      <c r="A240" s="85"/>
    </row>
    <row r="241" ht="15">
      <c r="A241" s="85"/>
    </row>
    <row r="242" ht="15">
      <c r="A242" s="85"/>
    </row>
    <row r="243" ht="15">
      <c r="A243" s="85"/>
    </row>
    <row r="244" ht="15">
      <c r="A244" s="85"/>
    </row>
    <row r="245" ht="15">
      <c r="A245" s="85"/>
    </row>
    <row r="246" ht="15">
      <c r="A246" s="85"/>
    </row>
    <row r="247" ht="15">
      <c r="A247" s="85"/>
    </row>
    <row r="248" ht="15">
      <c r="A248" s="85"/>
    </row>
    <row r="249" ht="15">
      <c r="A249" s="85"/>
    </row>
    <row r="250" ht="15">
      <c r="A250" s="85"/>
    </row>
    <row r="251" ht="15">
      <c r="A251" s="85"/>
    </row>
    <row r="252" ht="15">
      <c r="A252" s="85"/>
    </row>
    <row r="253" ht="15">
      <c r="A253" s="85"/>
    </row>
    <row r="254" ht="15">
      <c r="A254" s="85"/>
    </row>
    <row r="255" ht="15">
      <c r="A255" s="85"/>
    </row>
    <row r="256" ht="15">
      <c r="A256" s="85"/>
    </row>
    <row r="257" ht="15">
      <c r="A257" s="85"/>
    </row>
    <row r="258" ht="15">
      <c r="A258" s="85"/>
    </row>
    <row r="259" ht="15">
      <c r="A259" s="85"/>
    </row>
    <row r="260" ht="15">
      <c r="A260" s="85"/>
    </row>
    <row r="261" ht="15">
      <c r="A261" s="85"/>
    </row>
    <row r="262" ht="15">
      <c r="A262" s="85"/>
    </row>
    <row r="263" ht="15">
      <c r="A263" s="85"/>
    </row>
    <row r="264" ht="15">
      <c r="A264" s="85"/>
    </row>
    <row r="265" ht="15">
      <c r="A265" s="8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F24"/>
  <sheetViews>
    <sheetView rightToLeft="1" zoomScalePageLayoutView="0" workbookViewId="0" topLeftCell="A1">
      <selection activeCell="E21" sqref="E21"/>
    </sheetView>
  </sheetViews>
  <sheetFormatPr defaultColWidth="9.140625" defaultRowHeight="15"/>
  <cols>
    <col min="3" max="3" width="17.8515625" style="0" customWidth="1"/>
    <col min="4" max="5" width="11.421875" style="0" bestFit="1" customWidth="1"/>
  </cols>
  <sheetData>
    <row r="2" spans="4:5" ht="15">
      <c r="D2" s="85" t="s">
        <v>378</v>
      </c>
      <c r="E2" s="85" t="s">
        <v>379</v>
      </c>
    </row>
    <row r="3" spans="3:5" ht="14.25">
      <c r="C3" t="s">
        <v>263</v>
      </c>
      <c r="D3" s="26">
        <v>200000</v>
      </c>
      <c r="E3" s="26">
        <v>400000</v>
      </c>
    </row>
    <row r="4" spans="3:5" ht="14.25">
      <c r="C4" t="s">
        <v>380</v>
      </c>
      <c r="D4" s="26">
        <v>100000</v>
      </c>
      <c r="E4" s="26">
        <v>120000</v>
      </c>
    </row>
    <row r="5" spans="3:5" ht="14.25">
      <c r="C5" t="s">
        <v>381</v>
      </c>
      <c r="D5" s="26">
        <v>0</v>
      </c>
      <c r="E5" s="26">
        <v>320000</v>
      </c>
    </row>
    <row r="6" spans="3:5" ht="14.25">
      <c r="C6" t="s">
        <v>382</v>
      </c>
      <c r="D6" s="26">
        <v>350000</v>
      </c>
      <c r="E6" s="26">
        <v>0</v>
      </c>
    </row>
    <row r="7" spans="3:5" ht="14.25">
      <c r="C7" t="s">
        <v>383</v>
      </c>
      <c r="D7" s="26">
        <v>70000</v>
      </c>
      <c r="E7" s="26">
        <v>0</v>
      </c>
    </row>
    <row r="8" spans="3:5" ht="14.25">
      <c r="C8" t="s">
        <v>384</v>
      </c>
      <c r="D8" s="26">
        <v>250000</v>
      </c>
      <c r="E8" s="26">
        <v>0</v>
      </c>
    </row>
    <row r="9" spans="3:6" ht="14.25">
      <c r="C9" t="s">
        <v>385</v>
      </c>
      <c r="D9" s="86">
        <f>0-(SUM(D3:D8)+SUM(D10:D22))</f>
        <v>-433423</v>
      </c>
      <c r="E9" s="86">
        <f>0-(SUM(E3:E8)+SUM(E10:E22))</f>
        <v>-34999.75</v>
      </c>
      <c r="F9" t="s">
        <v>317</v>
      </c>
    </row>
    <row r="10" spans="3:5" ht="14.25">
      <c r="C10" t="s">
        <v>386</v>
      </c>
      <c r="D10" s="26">
        <v>0</v>
      </c>
      <c r="E10" s="26">
        <v>-70000</v>
      </c>
    </row>
    <row r="11" spans="3:5" ht="14.25">
      <c r="C11" t="s">
        <v>387</v>
      </c>
      <c r="D11" s="26">
        <v>-100952</v>
      </c>
      <c r="E11" s="26">
        <v>0</v>
      </c>
    </row>
    <row r="12" spans="3:5" ht="14.25">
      <c r="C12" t="s">
        <v>388</v>
      </c>
      <c r="D12" s="26">
        <v>-40000</v>
      </c>
      <c r="E12" s="26">
        <v>-100000</v>
      </c>
    </row>
    <row r="13" spans="3:5" ht="14.25">
      <c r="C13" t="s">
        <v>389</v>
      </c>
      <c r="D13" s="26">
        <v>-100000</v>
      </c>
      <c r="E13" s="26">
        <v>-400000</v>
      </c>
    </row>
    <row r="14" spans="3:5" ht="14.25">
      <c r="C14" t="s">
        <v>390</v>
      </c>
      <c r="D14" s="26">
        <v>-120000</v>
      </c>
      <c r="E14" s="26">
        <v>-100000</v>
      </c>
    </row>
    <row r="15" spans="3:5" ht="14.25">
      <c r="C15" t="s">
        <v>391</v>
      </c>
      <c r="D15" s="26">
        <v>0</v>
      </c>
      <c r="E15" s="26">
        <v>-50000</v>
      </c>
    </row>
    <row r="16" spans="3:5" ht="14.25">
      <c r="C16" t="s">
        <v>392</v>
      </c>
      <c r="D16" s="26">
        <v>-45000</v>
      </c>
      <c r="E16" s="26">
        <v>0</v>
      </c>
    </row>
    <row r="17" spans="3:5" ht="14.25">
      <c r="C17" t="s">
        <v>393</v>
      </c>
      <c r="D17" s="26">
        <v>-400000</v>
      </c>
      <c r="E17" s="26">
        <v>-400000</v>
      </c>
    </row>
    <row r="18" spans="3:5" ht="14.25">
      <c r="C18" t="s">
        <v>394</v>
      </c>
      <c r="D18" s="26">
        <v>200000</v>
      </c>
      <c r="E18" s="26">
        <v>250000</v>
      </c>
    </row>
    <row r="19" spans="3:5" ht="14.25">
      <c r="C19" t="s">
        <v>395</v>
      </c>
      <c r="D19" s="26">
        <v>20000</v>
      </c>
      <c r="E19" s="26">
        <v>50000</v>
      </c>
    </row>
    <row r="20" spans="3:5" ht="14.25">
      <c r="C20" t="s">
        <v>396</v>
      </c>
      <c r="D20" s="26">
        <v>40000</v>
      </c>
      <c r="E20" s="26">
        <v>30000</v>
      </c>
    </row>
    <row r="21" spans="3:5" ht="14.25">
      <c r="C21" t="s">
        <v>397</v>
      </c>
      <c r="D21" s="26">
        <v>0</v>
      </c>
      <c r="E21" s="86">
        <f>'[1]פתרון'!D184</f>
        <v>-15000.25</v>
      </c>
    </row>
    <row r="22" spans="3:5" ht="14.25">
      <c r="C22" t="s">
        <v>398</v>
      </c>
      <c r="D22" s="86">
        <f>'[1]פתרון'!C121</f>
        <v>9375</v>
      </c>
      <c r="E22" s="26">
        <v>0</v>
      </c>
    </row>
    <row r="24" spans="4:5" ht="14.25">
      <c r="D24" s="55">
        <f>SUM(D3:D22)</f>
        <v>0</v>
      </c>
      <c r="E24" s="55">
        <f>SUM(E3:E22)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Chani</dc:creator>
  <cp:keywords/>
  <dc:description/>
  <cp:lastModifiedBy>MAAYAN</cp:lastModifiedBy>
  <dcterms:created xsi:type="dcterms:W3CDTF">2012-08-03T08:37:15Z</dcterms:created>
  <dcterms:modified xsi:type="dcterms:W3CDTF">2013-12-31T12:05:28Z</dcterms:modified>
  <cp:category/>
  <cp:version/>
  <cp:contentType/>
  <cp:contentStatus/>
</cp:coreProperties>
</file>